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dra.vidic\Desktop\2020\FINANCIJSKI PLANOVI\2026\za FV\"/>
    </mc:Choice>
  </mc:AlternateContent>
  <xr:revisionPtr revIDLastSave="0" documentId="13_ncr:1_{82B2160E-7338-443C-B1A4-1160A8C4E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B.1 RAČUN FINANC EK" sheetId="7" r:id="rId5"/>
    <sheet name="A.3 RASHODI FUNKC" sheetId="10" r:id="rId6"/>
    <sheet name="B.2 RAČUN FINANC IF" sheetId="8" r:id="rId7"/>
    <sheet name="POSEBNI DIO" sheetId="15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4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7" i="2" l="1"/>
  <c r="F25" i="6"/>
  <c r="F39" i="4"/>
  <c r="G39" i="15"/>
  <c r="G18" i="15"/>
  <c r="G14" i="15"/>
  <c r="G70" i="15"/>
  <c r="G66" i="15"/>
  <c r="G59" i="15"/>
  <c r="G52" i="15"/>
  <c r="G49" i="15"/>
  <c r="G47" i="15"/>
  <c r="G46" i="15"/>
  <c r="G43" i="15"/>
  <c r="G41" i="15"/>
  <c r="G40" i="15"/>
  <c r="G37" i="15"/>
  <c r="G36" i="15"/>
  <c r="G35" i="15"/>
  <c r="G34" i="15"/>
  <c r="G33" i="15"/>
  <c r="G30" i="15"/>
  <c r="G29" i="15"/>
  <c r="G27" i="15"/>
  <c r="G26" i="15"/>
  <c r="G23" i="15"/>
  <c r="G22" i="15"/>
  <c r="G21" i="15"/>
  <c r="G16" i="15"/>
  <c r="G24" i="15" l="1"/>
  <c r="G28" i="15" l="1"/>
  <c r="H26" i="4"/>
  <c r="F18" i="4"/>
  <c r="F30" i="6"/>
  <c r="F29" i="6" s="1"/>
  <c r="F127" i="6"/>
  <c r="F55" i="6"/>
  <c r="F52" i="6"/>
  <c r="F46" i="6"/>
  <c r="F44" i="6"/>
  <c r="F42" i="6"/>
  <c r="F40" i="6"/>
  <c r="F38" i="6"/>
  <c r="F33" i="6"/>
  <c r="F52" i="2"/>
  <c r="F73" i="15" l="1"/>
  <c r="E11" i="15"/>
  <c r="G464" i="15" l="1"/>
  <c r="G446" i="15"/>
  <c r="G443" i="15" s="1"/>
  <c r="G442" i="15"/>
  <c r="G440" i="15"/>
  <c r="G438" i="15"/>
  <c r="G437" i="15"/>
  <c r="G427" i="15"/>
  <c r="G424" i="15"/>
  <c r="G422" i="15"/>
  <c r="G472" i="15"/>
  <c r="F472" i="15"/>
  <c r="E472" i="15"/>
  <c r="G470" i="15"/>
  <c r="F470" i="15"/>
  <c r="E470" i="15"/>
  <c r="F469" i="15"/>
  <c r="F468" i="15" s="1"/>
  <c r="G468" i="15"/>
  <c r="E468" i="15"/>
  <c r="F463" i="15"/>
  <c r="E463" i="15"/>
  <c r="F461" i="15"/>
  <c r="F460" i="15" s="1"/>
  <c r="G460" i="15"/>
  <c r="E460" i="15"/>
  <c r="E459" i="15" s="1"/>
  <c r="E458" i="15" s="1"/>
  <c r="G456" i="15"/>
  <c r="G455" i="15" s="1"/>
  <c r="F456" i="15"/>
  <c r="F455" i="15" s="1"/>
  <c r="E456" i="15"/>
  <c r="E455" i="15" s="1"/>
  <c r="G453" i="15"/>
  <c r="G452" i="15" s="1"/>
  <c r="F453" i="15"/>
  <c r="F452" i="15" s="1"/>
  <c r="E453" i="15"/>
  <c r="E452" i="15" s="1"/>
  <c r="F451" i="15"/>
  <c r="F450" i="15"/>
  <c r="G449" i="15"/>
  <c r="G448" i="15" s="1"/>
  <c r="E449" i="15"/>
  <c r="E448" i="15" s="1"/>
  <c r="F443" i="15"/>
  <c r="E443" i="15"/>
  <c r="F441" i="15"/>
  <c r="E441" i="15"/>
  <c r="F433" i="15"/>
  <c r="E433" i="15"/>
  <c r="F426" i="15"/>
  <c r="E426" i="15"/>
  <c r="E421" i="15"/>
  <c r="G418" i="15"/>
  <c r="F418" i="15"/>
  <c r="E418" i="15"/>
  <c r="G416" i="15"/>
  <c r="F416" i="15"/>
  <c r="E416" i="15"/>
  <c r="G414" i="15"/>
  <c r="F414" i="15"/>
  <c r="E414" i="15"/>
  <c r="G44" i="15"/>
  <c r="G65" i="15"/>
  <c r="G38" i="15"/>
  <c r="G407" i="15"/>
  <c r="G406" i="15" s="1"/>
  <c r="G403" i="15"/>
  <c r="G396" i="15"/>
  <c r="G395" i="15" s="1"/>
  <c r="G394" i="15" s="1"/>
  <c r="G391" i="15"/>
  <c r="G390" i="15" s="1"/>
  <c r="G389" i="15"/>
  <c r="G388" i="15" s="1"/>
  <c r="G387" i="15"/>
  <c r="G385" i="15"/>
  <c r="G384" i="15"/>
  <c r="G381" i="15"/>
  <c r="G371" i="15"/>
  <c r="G370" i="15"/>
  <c r="G367" i="15"/>
  <c r="G366" i="15" s="1"/>
  <c r="G365" i="15"/>
  <c r="G364" i="15" s="1"/>
  <c r="G363" i="15"/>
  <c r="G408" i="15"/>
  <c r="F408" i="15"/>
  <c r="E408" i="15"/>
  <c r="F407" i="15"/>
  <c r="F406" i="15" s="1"/>
  <c r="E406" i="15"/>
  <c r="F402" i="15"/>
  <c r="E402" i="15"/>
  <c r="G399" i="15"/>
  <c r="G398" i="15" s="1"/>
  <c r="F399" i="15"/>
  <c r="F398" i="15" s="1"/>
  <c r="E399" i="15"/>
  <c r="E398" i="15" s="1"/>
  <c r="F390" i="15"/>
  <c r="E390" i="15"/>
  <c r="F388" i="15"/>
  <c r="E388" i="15"/>
  <c r="F380" i="15"/>
  <c r="E380" i="15"/>
  <c r="G374" i="15"/>
  <c r="F374" i="15"/>
  <c r="E374" i="15"/>
  <c r="F373" i="15"/>
  <c r="E369" i="15"/>
  <c r="F366" i="15"/>
  <c r="E366" i="15"/>
  <c r="F364" i="15"/>
  <c r="E364" i="15"/>
  <c r="F362" i="15"/>
  <c r="E362" i="15"/>
  <c r="G356" i="15"/>
  <c r="G355" i="15" s="1"/>
  <c r="G345" i="15"/>
  <c r="G344" i="15" s="1"/>
  <c r="G343" i="15" s="1"/>
  <c r="G341" i="15"/>
  <c r="G340" i="15"/>
  <c r="G338" i="15"/>
  <c r="G336" i="15"/>
  <c r="G332" i="15"/>
  <c r="G330" i="15"/>
  <c r="G324" i="15"/>
  <c r="G321" i="15"/>
  <c r="G320" i="15"/>
  <c r="G319" i="15"/>
  <c r="G316" i="15"/>
  <c r="G314" i="15"/>
  <c r="G312" i="15"/>
  <c r="G303" i="15"/>
  <c r="G302" i="15"/>
  <c r="G292" i="15"/>
  <c r="G288" i="15"/>
  <c r="G287" i="15" s="1"/>
  <c r="G286" i="15"/>
  <c r="G284" i="15"/>
  <c r="G282" i="15"/>
  <c r="G280" i="15"/>
  <c r="G278" i="15"/>
  <c r="G274" i="15"/>
  <c r="G269" i="15"/>
  <c r="G268" i="15"/>
  <c r="G265" i="15"/>
  <c r="G264" i="15"/>
  <c r="G263" i="15"/>
  <c r="G260" i="15"/>
  <c r="G258" i="15"/>
  <c r="G256" i="15"/>
  <c r="G250" i="15"/>
  <c r="F250" i="15"/>
  <c r="E250" i="15"/>
  <c r="G245" i="15"/>
  <c r="F245" i="15"/>
  <c r="E245" i="15"/>
  <c r="G242" i="15"/>
  <c r="F242" i="15"/>
  <c r="E242" i="15"/>
  <c r="E241" i="15" s="1"/>
  <c r="G238" i="15"/>
  <c r="F238" i="15"/>
  <c r="F237" i="15" s="1"/>
  <c r="E238" i="15"/>
  <c r="E237" i="15" s="1"/>
  <c r="G233" i="15"/>
  <c r="F233" i="15"/>
  <c r="E233" i="15"/>
  <c r="G231" i="15"/>
  <c r="F231" i="15"/>
  <c r="E231" i="15"/>
  <c r="G223" i="15"/>
  <c r="F223" i="15"/>
  <c r="E223" i="15"/>
  <c r="G217" i="15"/>
  <c r="F217" i="15"/>
  <c r="E217" i="15"/>
  <c r="G212" i="15"/>
  <c r="F212" i="15"/>
  <c r="E212" i="15"/>
  <c r="G209" i="15"/>
  <c r="F209" i="15"/>
  <c r="E209" i="15"/>
  <c r="G207" i="15"/>
  <c r="F207" i="15"/>
  <c r="E207" i="15"/>
  <c r="G205" i="15"/>
  <c r="F205" i="15"/>
  <c r="E205" i="15"/>
  <c r="G357" i="15"/>
  <c r="F357" i="15"/>
  <c r="E357" i="15"/>
  <c r="F356" i="15"/>
  <c r="F355" i="15" s="1"/>
  <c r="E355" i="15"/>
  <c r="G351" i="15"/>
  <c r="F351" i="15"/>
  <c r="E351" i="15"/>
  <c r="G348" i="15"/>
  <c r="G347" i="15" s="1"/>
  <c r="F348" i="15"/>
  <c r="F347" i="15" s="1"/>
  <c r="E348" i="15"/>
  <c r="E347" i="15" s="1"/>
  <c r="F339" i="15"/>
  <c r="E339" i="15"/>
  <c r="E337" i="15"/>
  <c r="F329" i="15"/>
  <c r="E329" i="15"/>
  <c r="F323" i="15"/>
  <c r="E323" i="15"/>
  <c r="F322" i="15"/>
  <c r="E318" i="15"/>
  <c r="F315" i="15"/>
  <c r="E315" i="15"/>
  <c r="F313" i="15"/>
  <c r="E313" i="15"/>
  <c r="F311" i="15"/>
  <c r="E311" i="15"/>
  <c r="G154" i="15"/>
  <c r="G58" i="15"/>
  <c r="G57" i="15" s="1"/>
  <c r="G313" i="15" l="1"/>
  <c r="G426" i="15"/>
  <c r="G20" i="15"/>
  <c r="F449" i="15"/>
  <c r="F448" i="15" s="1"/>
  <c r="G433" i="15"/>
  <c r="E413" i="15"/>
  <c r="E412" i="15" s="1"/>
  <c r="G463" i="15"/>
  <c r="G441" i="15"/>
  <c r="F413" i="15"/>
  <c r="G413" i="15"/>
  <c r="G421" i="15"/>
  <c r="F459" i="15"/>
  <c r="F458" i="15" s="1"/>
  <c r="F421" i="15"/>
  <c r="G459" i="15"/>
  <c r="F318" i="15"/>
  <c r="F369" i="15"/>
  <c r="G369" i="15"/>
  <c r="G337" i="15"/>
  <c r="E401" i="15"/>
  <c r="E397" i="15" s="1"/>
  <c r="G402" i="15"/>
  <c r="G362" i="15"/>
  <c r="F401" i="15"/>
  <c r="F397" i="15" s="1"/>
  <c r="G380" i="15"/>
  <c r="G329" i="15"/>
  <c r="G315" i="15"/>
  <c r="G339" i="15"/>
  <c r="G323" i="15"/>
  <c r="G318" i="15"/>
  <c r="G311" i="15"/>
  <c r="G294" i="15"/>
  <c r="F204" i="15"/>
  <c r="E244" i="15"/>
  <c r="E240" i="15" s="1"/>
  <c r="G241" i="15"/>
  <c r="E211" i="15"/>
  <c r="G204" i="15"/>
  <c r="F337" i="15"/>
  <c r="G237" i="15"/>
  <c r="F211" i="15"/>
  <c r="E204" i="15"/>
  <c r="G211" i="15"/>
  <c r="F241" i="15"/>
  <c r="F244" i="15"/>
  <c r="G244" i="15"/>
  <c r="E350" i="15"/>
  <c r="E346" i="15" s="1"/>
  <c r="G350" i="15"/>
  <c r="F350" i="15"/>
  <c r="F346" i="15" s="1"/>
  <c r="E202" i="15" l="1"/>
  <c r="F202" i="15"/>
  <c r="E411" i="15"/>
  <c r="E410" i="15" s="1"/>
  <c r="G462" i="15"/>
  <c r="G458" i="15" s="1"/>
  <c r="G420" i="15"/>
  <c r="G412" i="15" s="1"/>
  <c r="F412" i="15"/>
  <c r="G368" i="15"/>
  <c r="H368" i="15" s="1"/>
  <c r="E360" i="15"/>
  <c r="E359" i="15" s="1"/>
  <c r="E203" i="15"/>
  <c r="F360" i="15"/>
  <c r="F359" i="15" s="1"/>
  <c r="G401" i="15"/>
  <c r="G361" i="15"/>
  <c r="G317" i="15"/>
  <c r="G310" i="15"/>
  <c r="F203" i="15"/>
  <c r="E309" i="15"/>
  <c r="E308" i="15" s="1"/>
  <c r="G346" i="15"/>
  <c r="G203" i="15"/>
  <c r="G240" i="15"/>
  <c r="F240" i="15"/>
  <c r="F309" i="15"/>
  <c r="F308" i="15" s="1"/>
  <c r="G411" i="15" l="1"/>
  <c r="G410" i="15" s="1"/>
  <c r="H420" i="15"/>
  <c r="F411" i="15"/>
  <c r="F410" i="15" s="1"/>
  <c r="H458" i="15"/>
  <c r="H412" i="15"/>
  <c r="G360" i="15"/>
  <c r="G202" i="15"/>
  <c r="G397" i="15"/>
  <c r="G309" i="15"/>
  <c r="G308" i="15" s="1"/>
  <c r="H361" i="15"/>
  <c r="H317" i="15"/>
  <c r="H310" i="15"/>
  <c r="H411" i="15" l="1"/>
  <c r="H360" i="15"/>
  <c r="G359" i="15"/>
  <c r="H309" i="15"/>
  <c r="H308" i="15"/>
  <c r="H359" i="15" l="1"/>
  <c r="G13" i="15" l="1"/>
  <c r="G15" i="15"/>
  <c r="G17" i="15"/>
  <c r="G25" i="15"/>
  <c r="G32" i="15"/>
  <c r="G42" i="15"/>
  <c r="G51" i="15"/>
  <c r="G50" i="15" s="1"/>
  <c r="H50" i="15" s="1"/>
  <c r="G55" i="15"/>
  <c r="G54" i="15" s="1"/>
  <c r="G62" i="15"/>
  <c r="G61" i="15" s="1"/>
  <c r="H61" i="15" s="1"/>
  <c r="G69" i="15"/>
  <c r="G71" i="15"/>
  <c r="E77" i="15"/>
  <c r="G77" i="15"/>
  <c r="F77" i="15"/>
  <c r="E79" i="15"/>
  <c r="G79" i="15"/>
  <c r="F79" i="15"/>
  <c r="E81" i="15"/>
  <c r="F81" i="15"/>
  <c r="G81" i="15"/>
  <c r="E84" i="15"/>
  <c r="F84" i="15" s="1"/>
  <c r="G84" i="15"/>
  <c r="E89" i="15"/>
  <c r="G89" i="15"/>
  <c r="E96" i="15"/>
  <c r="G96" i="15"/>
  <c r="E103" i="15"/>
  <c r="G103" i="15"/>
  <c r="E105" i="15"/>
  <c r="G105" i="15"/>
  <c r="F105" i="15"/>
  <c r="E111" i="15"/>
  <c r="E110" i="15" s="1"/>
  <c r="G111" i="15"/>
  <c r="F112" i="15"/>
  <c r="F113" i="15"/>
  <c r="E115" i="15"/>
  <c r="G115" i="15"/>
  <c r="E118" i="15"/>
  <c r="E117" i="15" s="1"/>
  <c r="F118" i="15"/>
  <c r="F117" i="15" s="1"/>
  <c r="G118" i="15"/>
  <c r="E122" i="15"/>
  <c r="E121" i="15" s="1"/>
  <c r="G122" i="15"/>
  <c r="G121" i="15" s="1"/>
  <c r="F123" i="15"/>
  <c r="E125" i="15"/>
  <c r="G125" i="15"/>
  <c r="F125" i="15"/>
  <c r="E130" i="15"/>
  <c r="G130" i="15"/>
  <c r="F131" i="15"/>
  <c r="F130" i="15" s="1"/>
  <c r="E132" i="15"/>
  <c r="G132" i="15"/>
  <c r="F132" i="15"/>
  <c r="E134" i="15"/>
  <c r="G134" i="15"/>
  <c r="F134" i="15"/>
  <c r="E139" i="15"/>
  <c r="G139" i="15"/>
  <c r="F139" i="15"/>
  <c r="E141" i="15"/>
  <c r="G141" i="15"/>
  <c r="F141" i="15"/>
  <c r="E143" i="15"/>
  <c r="G143" i="15"/>
  <c r="E146" i="15"/>
  <c r="G146" i="15"/>
  <c r="F148" i="15"/>
  <c r="E151" i="15"/>
  <c r="G151" i="15"/>
  <c r="F151" i="15"/>
  <c r="E158" i="15"/>
  <c r="G158" i="15"/>
  <c r="E168" i="15"/>
  <c r="G168" i="15"/>
  <c r="F168" i="15"/>
  <c r="E170" i="15"/>
  <c r="G170" i="15"/>
  <c r="F170" i="15"/>
  <c r="G177" i="15"/>
  <c r="G182" i="15"/>
  <c r="E185" i="15"/>
  <c r="E184" i="15" s="1"/>
  <c r="F185" i="15"/>
  <c r="F184" i="15" s="1"/>
  <c r="G185" i="15"/>
  <c r="E188" i="15"/>
  <c r="F188" i="15"/>
  <c r="G188" i="15"/>
  <c r="G187" i="15" s="1"/>
  <c r="E192" i="15"/>
  <c r="E191" i="15" s="1"/>
  <c r="F192" i="15"/>
  <c r="F191" i="15" s="1"/>
  <c r="G192" i="15"/>
  <c r="E195" i="15"/>
  <c r="G195" i="15"/>
  <c r="F195" i="15"/>
  <c r="E198" i="15"/>
  <c r="G198" i="15"/>
  <c r="F198" i="15"/>
  <c r="E200" i="15"/>
  <c r="G200" i="15"/>
  <c r="F200" i="15"/>
  <c r="E255" i="15"/>
  <c r="G255" i="15"/>
  <c r="F255" i="15"/>
  <c r="E257" i="15"/>
  <c r="G257" i="15"/>
  <c r="F257" i="15"/>
  <c r="E259" i="15"/>
  <c r="F259" i="15"/>
  <c r="G259" i="15"/>
  <c r="E262" i="15"/>
  <c r="G262" i="15"/>
  <c r="F262" i="15"/>
  <c r="E267" i="15"/>
  <c r="F267" i="15"/>
  <c r="G267" i="15"/>
  <c r="E273" i="15"/>
  <c r="G273" i="15"/>
  <c r="E281" i="15"/>
  <c r="G281" i="15"/>
  <c r="F281" i="15"/>
  <c r="E283" i="15"/>
  <c r="G283" i="15"/>
  <c r="F283" i="15"/>
  <c r="E291" i="15"/>
  <c r="F291" i="15"/>
  <c r="G291" i="15"/>
  <c r="E298" i="15"/>
  <c r="E297" i="15" s="1"/>
  <c r="G298" i="15"/>
  <c r="G297" i="15" s="1"/>
  <c r="G293" i="15" s="1"/>
  <c r="E301" i="15"/>
  <c r="F301" i="15"/>
  <c r="G301" i="15"/>
  <c r="E306" i="15"/>
  <c r="F306" i="15"/>
  <c r="G306" i="15"/>
  <c r="F111" i="15" l="1"/>
  <c r="F110" i="15" s="1"/>
  <c r="E190" i="15"/>
  <c r="F146" i="15"/>
  <c r="G110" i="15"/>
  <c r="G64" i="15"/>
  <c r="G114" i="15"/>
  <c r="F300" i="15"/>
  <c r="E300" i="15"/>
  <c r="E296" i="15" s="1"/>
  <c r="G261" i="15"/>
  <c r="E73" i="15"/>
  <c r="E124" i="15"/>
  <c r="E120" i="15" s="1"/>
  <c r="G83" i="15"/>
  <c r="G76" i="15"/>
  <c r="E60" i="15"/>
  <c r="F190" i="15"/>
  <c r="F60" i="15"/>
  <c r="F124" i="15"/>
  <c r="G194" i="15"/>
  <c r="G12" i="15"/>
  <c r="F298" i="15"/>
  <c r="F297" i="15" s="1"/>
  <c r="G184" i="15"/>
  <c r="G176" i="15"/>
  <c r="G138" i="15"/>
  <c r="F115" i="15"/>
  <c r="G290" i="15"/>
  <c r="G254" i="15"/>
  <c r="F143" i="15"/>
  <c r="F122" i="15"/>
  <c r="F103" i="15"/>
  <c r="F96" i="15"/>
  <c r="F89" i="15"/>
  <c r="G300" i="15"/>
  <c r="F273" i="15"/>
  <c r="G191" i="15"/>
  <c r="G117" i="15"/>
  <c r="G19" i="15"/>
  <c r="G11" i="15" s="1"/>
  <c r="G181" i="15"/>
  <c r="G145" i="15"/>
  <c r="G124" i="15"/>
  <c r="F158" i="15"/>
  <c r="E39" i="4"/>
  <c r="D39" i="4"/>
  <c r="H43" i="4"/>
  <c r="E18" i="4"/>
  <c r="D18" i="4"/>
  <c r="G60" i="15" l="1"/>
  <c r="H60" i="15" s="1"/>
  <c r="H64" i="15"/>
  <c r="G253" i="15"/>
  <c r="E295" i="15"/>
  <c r="E294" i="15" s="1"/>
  <c r="E293" i="15" s="1"/>
  <c r="H145" i="15"/>
  <c r="H114" i="15"/>
  <c r="E137" i="15"/>
  <c r="E136" i="15" s="1"/>
  <c r="F296" i="15"/>
  <c r="H261" i="15"/>
  <c r="E253" i="15"/>
  <c r="E252" i="15" s="1"/>
  <c r="E75" i="15"/>
  <c r="E74" i="15" s="1"/>
  <c r="H76" i="15"/>
  <c r="E10" i="15"/>
  <c r="E9" i="15" s="1"/>
  <c r="E8" i="15" s="1"/>
  <c r="F121" i="15"/>
  <c r="F11" i="15"/>
  <c r="F10" i="15" s="1"/>
  <c r="F9" i="15" s="1"/>
  <c r="F8" i="15" s="1"/>
  <c r="G137" i="15"/>
  <c r="H138" i="15"/>
  <c r="H181" i="15"/>
  <c r="H83" i="15"/>
  <c r="H176" i="15"/>
  <c r="H254" i="15"/>
  <c r="H290" i="15"/>
  <c r="G120" i="15"/>
  <c r="G75" i="15"/>
  <c r="H194" i="15"/>
  <c r="H19" i="15"/>
  <c r="G190" i="15"/>
  <c r="G296" i="15"/>
  <c r="G252" i="15" l="1"/>
  <c r="F137" i="15"/>
  <c r="F136" i="15" s="1"/>
  <c r="F295" i="15"/>
  <c r="F253" i="15"/>
  <c r="F252" i="15" s="1"/>
  <c r="H12" i="15"/>
  <c r="G74" i="15"/>
  <c r="G136" i="15"/>
  <c r="H190" i="15"/>
  <c r="F120" i="15"/>
  <c r="F75" i="15"/>
  <c r="H75" i="15" s="1"/>
  <c r="H11" i="15"/>
  <c r="G10" i="15"/>
  <c r="G9" i="15" l="1"/>
  <c r="H9" i="15" s="1"/>
  <c r="G73" i="15"/>
  <c r="H137" i="15"/>
  <c r="F294" i="15"/>
  <c r="H253" i="15"/>
  <c r="H136" i="15"/>
  <c r="H10" i="15"/>
  <c r="F74" i="15"/>
  <c r="H252" i="15"/>
  <c r="G8" i="15" l="1"/>
  <c r="H73" i="15"/>
  <c r="F293" i="15"/>
  <c r="H74" i="15"/>
  <c r="H8" i="15" l="1"/>
  <c r="C78" i="6"/>
  <c r="G28" i="6"/>
  <c r="F36" i="6" l="1"/>
  <c r="F20" i="2"/>
  <c r="C20" i="2" l="1"/>
  <c r="F61" i="2" l="1"/>
  <c r="C61" i="2"/>
  <c r="C35" i="7" l="1"/>
  <c r="K25" i="1" l="1"/>
  <c r="J25" i="1"/>
  <c r="K24" i="1"/>
  <c r="J24" i="1"/>
  <c r="D10" i="8" l="1"/>
  <c r="F10" i="8"/>
  <c r="C10" i="8"/>
  <c r="F11" i="8"/>
  <c r="E11" i="8"/>
  <c r="H11" i="8" s="1"/>
  <c r="D11" i="8"/>
  <c r="C11" i="8"/>
  <c r="G11" i="8" s="1"/>
  <c r="D13" i="8"/>
  <c r="F13" i="8"/>
  <c r="F14" i="8"/>
  <c r="E14" i="8"/>
  <c r="E13" i="8" s="1"/>
  <c r="D14" i="8"/>
  <c r="C14" i="8"/>
  <c r="C13" i="8" s="1"/>
  <c r="F16" i="8"/>
  <c r="E16" i="8"/>
  <c r="H16" i="8" s="1"/>
  <c r="D16" i="8"/>
  <c r="C16" i="8"/>
  <c r="F18" i="8"/>
  <c r="E18" i="8"/>
  <c r="H18" i="8" s="1"/>
  <c r="D18" i="8"/>
  <c r="C18" i="8"/>
  <c r="H19" i="8"/>
  <c r="G19" i="8"/>
  <c r="G18" i="8"/>
  <c r="H17" i="8"/>
  <c r="G17" i="8"/>
  <c r="G16" i="8"/>
  <c r="H15" i="8"/>
  <c r="G15" i="8"/>
  <c r="H12" i="8"/>
  <c r="G12" i="8"/>
  <c r="E17" i="7"/>
  <c r="H22" i="1" s="1"/>
  <c r="D17" i="7"/>
  <c r="G22" i="1" s="1"/>
  <c r="F19" i="7"/>
  <c r="C19" i="7"/>
  <c r="G19" i="7" s="1"/>
  <c r="F24" i="7"/>
  <c r="C24" i="7"/>
  <c r="C18" i="7" s="1"/>
  <c r="F22" i="7"/>
  <c r="F18" i="7" s="1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E10" i="8" l="1"/>
  <c r="H10" i="8" s="1"/>
  <c r="H22" i="7"/>
  <c r="G14" i="8"/>
  <c r="H14" i="8"/>
  <c r="G10" i="8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F28" i="7"/>
  <c r="C28" i="7"/>
  <c r="G28" i="7" s="1"/>
  <c r="F30" i="7"/>
  <c r="H30" i="7" s="1"/>
  <c r="C30" i="7"/>
  <c r="F33" i="7"/>
  <c r="H33" i="7" s="1"/>
  <c r="C33" i="7"/>
  <c r="C32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G31" i="7"/>
  <c r="H31" i="7"/>
  <c r="G34" i="7"/>
  <c r="H34" i="7"/>
  <c r="G36" i="7"/>
  <c r="H36" i="7"/>
  <c r="H10" i="7"/>
  <c r="F35" i="7"/>
  <c r="G35" i="7" s="1"/>
  <c r="C13" i="10"/>
  <c r="F11" i="4"/>
  <c r="E11" i="4"/>
  <c r="D11" i="4"/>
  <c r="C11" i="4"/>
  <c r="F14" i="4"/>
  <c r="E14" i="4"/>
  <c r="D14" i="4"/>
  <c r="C14" i="4"/>
  <c r="F16" i="4"/>
  <c r="E16" i="4"/>
  <c r="D16" i="4"/>
  <c r="C16" i="4"/>
  <c r="C18" i="4"/>
  <c r="F27" i="4"/>
  <c r="C27" i="4"/>
  <c r="C29" i="4"/>
  <c r="F32" i="4"/>
  <c r="E32" i="4"/>
  <c r="D32" i="4"/>
  <c r="C32" i="4"/>
  <c r="F35" i="4"/>
  <c r="E35" i="4"/>
  <c r="D35" i="4"/>
  <c r="C35" i="4"/>
  <c r="F37" i="4"/>
  <c r="E37" i="4"/>
  <c r="D37" i="4"/>
  <c r="C37" i="4"/>
  <c r="C39" i="4"/>
  <c r="H33" i="4"/>
  <c r="H36" i="4"/>
  <c r="H38" i="4"/>
  <c r="H41" i="4"/>
  <c r="G33" i="4"/>
  <c r="G36" i="4"/>
  <c r="G38" i="4"/>
  <c r="G41" i="4"/>
  <c r="G42" i="4"/>
  <c r="F27" i="7" l="1"/>
  <c r="H27" i="7" s="1"/>
  <c r="G14" i="4"/>
  <c r="H37" i="4"/>
  <c r="H18" i="4"/>
  <c r="H14" i="4"/>
  <c r="G37" i="4"/>
  <c r="F32" i="7"/>
  <c r="F17" i="7" s="1"/>
  <c r="I22" i="1" s="1"/>
  <c r="E31" i="4"/>
  <c r="F31" i="4"/>
  <c r="C10" i="10"/>
  <c r="G30" i="7"/>
  <c r="G35" i="4"/>
  <c r="H28" i="7"/>
  <c r="C27" i="7"/>
  <c r="G27" i="7" s="1"/>
  <c r="G10" i="7"/>
  <c r="G39" i="4"/>
  <c r="G32" i="4"/>
  <c r="G18" i="4"/>
  <c r="G11" i="4"/>
  <c r="D31" i="4"/>
  <c r="G33" i="7"/>
  <c r="H17" i="7"/>
  <c r="H32" i="7"/>
  <c r="G32" i="7"/>
  <c r="H35" i="7"/>
  <c r="D10" i="4"/>
  <c r="H39" i="4"/>
  <c r="H35" i="4"/>
  <c r="H16" i="4"/>
  <c r="H11" i="4"/>
  <c r="C31" i="4"/>
  <c r="F10" i="4"/>
  <c r="C10" i="4"/>
  <c r="E10" i="4"/>
  <c r="G16" i="4"/>
  <c r="H32" i="4"/>
  <c r="E10" i="6"/>
  <c r="H13" i="1" s="1"/>
  <c r="D10" i="6"/>
  <c r="C12" i="6"/>
  <c r="F12" i="6"/>
  <c r="F17" i="6"/>
  <c r="C17" i="6"/>
  <c r="F19" i="6"/>
  <c r="C19" i="6"/>
  <c r="F24" i="6"/>
  <c r="C24" i="6"/>
  <c r="C29" i="6"/>
  <c r="C36" i="6"/>
  <c r="C46" i="6"/>
  <c r="F48" i="6"/>
  <c r="C48" i="6"/>
  <c r="F60" i="6"/>
  <c r="C60" i="6"/>
  <c r="F74" i="6"/>
  <c r="C74" i="6"/>
  <c r="F78" i="6"/>
  <c r="F85" i="6"/>
  <c r="C85" i="6"/>
  <c r="F94" i="6"/>
  <c r="C94" i="6"/>
  <c r="F99" i="6"/>
  <c r="C99" i="6"/>
  <c r="E113" i="6"/>
  <c r="H14" i="1" s="1"/>
  <c r="D113" i="6"/>
  <c r="G14" i="1" s="1"/>
  <c r="F117" i="6"/>
  <c r="C117" i="6"/>
  <c r="F126" i="6"/>
  <c r="C126" i="6"/>
  <c r="F137" i="6"/>
  <c r="C137" i="6"/>
  <c r="C144" i="6"/>
  <c r="G138" i="6"/>
  <c r="G127" i="6"/>
  <c r="G120" i="6"/>
  <c r="G119" i="6"/>
  <c r="G118" i="6"/>
  <c r="G101" i="6"/>
  <c r="G100" i="6"/>
  <c r="G95" i="6"/>
  <c r="G86" i="6"/>
  <c r="G84" i="6"/>
  <c r="G63" i="6"/>
  <c r="G62" i="6"/>
  <c r="G61" i="6"/>
  <c r="G55" i="6"/>
  <c r="G54" i="6"/>
  <c r="G53" i="6"/>
  <c r="G52" i="6"/>
  <c r="G51" i="6"/>
  <c r="G50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7" i="6"/>
  <c r="G26" i="6"/>
  <c r="G25" i="6"/>
  <c r="G18" i="6"/>
  <c r="D11" i="2"/>
  <c r="E11" i="2"/>
  <c r="F13" i="2"/>
  <c r="C13" i="2"/>
  <c r="F15" i="2"/>
  <c r="C15" i="2"/>
  <c r="F25" i="2"/>
  <c r="C25" i="2"/>
  <c r="C28" i="2"/>
  <c r="F31" i="2"/>
  <c r="C31" i="2"/>
  <c r="C37" i="2"/>
  <c r="F50" i="2"/>
  <c r="C50" i="2"/>
  <c r="F54" i="2"/>
  <c r="C54" i="2"/>
  <c r="F57" i="2"/>
  <c r="C60" i="2"/>
  <c r="C70" i="2"/>
  <c r="H11" i="1"/>
  <c r="G11" i="1"/>
  <c r="C74" i="2"/>
  <c r="C76" i="2"/>
  <c r="C79" i="2"/>
  <c r="F12" i="2" l="1"/>
  <c r="H31" i="4"/>
  <c r="H12" i="2"/>
  <c r="G31" i="4"/>
  <c r="F60" i="2"/>
  <c r="H60" i="2" s="1"/>
  <c r="F53" i="2"/>
  <c r="H53" i="2" s="1"/>
  <c r="F47" i="2"/>
  <c r="H47" i="2" s="1"/>
  <c r="C47" i="2"/>
  <c r="C12" i="2"/>
  <c r="F36" i="2"/>
  <c r="D10" i="2"/>
  <c r="G10" i="1" s="1"/>
  <c r="C36" i="2"/>
  <c r="C53" i="2"/>
  <c r="C67" i="2"/>
  <c r="H10" i="4"/>
  <c r="G10" i="4"/>
  <c r="C17" i="7"/>
  <c r="E10" i="2"/>
  <c r="H10" i="1" s="1"/>
  <c r="F22" i="1"/>
  <c r="G17" i="7"/>
  <c r="C90" i="6"/>
  <c r="E9" i="6"/>
  <c r="C11" i="6"/>
  <c r="D9" i="6"/>
  <c r="G13" i="1"/>
  <c r="G126" i="6"/>
  <c r="G46" i="6"/>
  <c r="F11" i="6"/>
  <c r="H11" i="6" s="1"/>
  <c r="G74" i="6"/>
  <c r="G48" i="6"/>
  <c r="G36" i="6"/>
  <c r="C23" i="6"/>
  <c r="G29" i="6"/>
  <c r="F121" i="6"/>
  <c r="H121" i="6" s="1"/>
  <c r="G24" i="6"/>
  <c r="G17" i="6"/>
  <c r="G117" i="6"/>
  <c r="F98" i="6"/>
  <c r="H98" i="6" s="1"/>
  <c r="G85" i="6"/>
  <c r="F56" i="6"/>
  <c r="H56" i="6" s="1"/>
  <c r="G19" i="6"/>
  <c r="C114" i="6"/>
  <c r="C98" i="6"/>
  <c r="C73" i="6"/>
  <c r="G60" i="6"/>
  <c r="F73" i="6"/>
  <c r="C121" i="6"/>
  <c r="C56" i="6"/>
  <c r="G99" i="6"/>
  <c r="G94" i="6"/>
  <c r="F90" i="6"/>
  <c r="F23" i="6"/>
  <c r="F114" i="6"/>
  <c r="H114" i="6" s="1"/>
  <c r="G12" i="6"/>
  <c r="G137" i="6"/>
  <c r="C73" i="2"/>
  <c r="G12" i="2" l="1"/>
  <c r="G60" i="2"/>
  <c r="G47" i="2"/>
  <c r="G36" i="2"/>
  <c r="G53" i="2"/>
  <c r="G11" i="6"/>
  <c r="C11" i="2"/>
  <c r="F10" i="1" s="1"/>
  <c r="F11" i="2"/>
  <c r="C10" i="6"/>
  <c r="F13" i="1" s="1"/>
  <c r="C113" i="6"/>
  <c r="G56" i="6"/>
  <c r="G98" i="6"/>
  <c r="G114" i="6"/>
  <c r="F113" i="6"/>
  <c r="I14" i="1" s="1"/>
  <c r="G121" i="6"/>
  <c r="F10" i="6"/>
  <c r="F9" i="6" s="1"/>
  <c r="G23" i="6"/>
  <c r="H23" i="6"/>
  <c r="G90" i="6"/>
  <c r="G73" i="6"/>
  <c r="H73" i="6"/>
  <c r="C78" i="2"/>
  <c r="C72" i="2" s="1"/>
  <c r="F11" i="1" s="1"/>
  <c r="G23" i="1"/>
  <c r="G26" i="1" s="1"/>
  <c r="H12" i="1"/>
  <c r="I11" i="1" l="1"/>
  <c r="C10" i="2"/>
  <c r="I10" i="1"/>
  <c r="K10" i="1" s="1"/>
  <c r="H11" i="2"/>
  <c r="F10" i="2"/>
  <c r="G11" i="2"/>
  <c r="F12" i="1"/>
  <c r="I13" i="1"/>
  <c r="J13" i="1" s="1"/>
  <c r="C9" i="6"/>
  <c r="F14" i="1"/>
  <c r="F15" i="1" s="1"/>
  <c r="H10" i="6"/>
  <c r="G10" i="6"/>
  <c r="G113" i="6"/>
  <c r="H113" i="6"/>
  <c r="H23" i="1"/>
  <c r="H15" i="1"/>
  <c r="I23" i="1"/>
  <c r="I26" i="1" s="1"/>
  <c r="G12" i="1"/>
  <c r="G15" i="1"/>
  <c r="F23" i="1"/>
  <c r="F26" i="1" s="1"/>
  <c r="H9" i="6" l="1"/>
  <c r="H10" i="2"/>
  <c r="J10" i="1"/>
  <c r="I12" i="1"/>
  <c r="K12" i="1" s="1"/>
  <c r="G10" i="2"/>
  <c r="F16" i="1"/>
  <c r="F27" i="1" s="1"/>
  <c r="G9" i="6"/>
  <c r="J14" i="1"/>
  <c r="I15" i="1"/>
  <c r="J15" i="1" s="1"/>
  <c r="H26" i="1"/>
  <c r="H16" i="1"/>
  <c r="G16" i="1"/>
  <c r="G27" i="1" s="1"/>
  <c r="H27" i="1" l="1"/>
  <c r="J12" i="1"/>
  <c r="I16" i="1"/>
  <c r="K15" i="1"/>
  <c r="I27" i="1" l="1"/>
  <c r="H14" i="10" l="1"/>
  <c r="G14" i="10"/>
  <c r="F13" i="10"/>
  <c r="F10" i="10" s="1"/>
  <c r="E13" i="10"/>
  <c r="E10" i="10" s="1"/>
  <c r="D13" i="10"/>
  <c r="D10" i="10" s="1"/>
  <c r="H10" i="10" l="1"/>
  <c r="G10" i="10"/>
  <c r="H13" i="10"/>
  <c r="G13" i="10"/>
</calcChain>
</file>

<file path=xl/sharedStrings.xml><?xml version="1.0" encoding="utf-8"?>
<sst xmlns="http://schemas.openxmlformats.org/spreadsheetml/2006/main" count="1241" uniqueCount="610">
  <si>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</si>
  <si>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</si>
  <si>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</si>
  <si>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</si>
  <si>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</si>
  <si>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</si>
  <si>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</si>
  <si>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</si>
  <si>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</si>
  <si>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</si>
  <si>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</si>
  <si>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</si>
  <si>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</si>
  <si>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</si>
  <si>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</si>
  <si>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</si>
  <si>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</si>
  <si>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</si>
  <si>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</si>
  <si>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</si>
  <si>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</si>
  <si>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</si>
  <si>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</si>
  <si>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</si>
  <si>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</si>
  <si>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</si>
  <si>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</si>
  <si>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</si>
  <si>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</si>
  <si>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</si>
  <si>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</si>
  <si>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</si>
  <si>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</si>
  <si>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</si>
  <si>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</si>
  <si>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</si>
  <si>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</si>
  <si>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</si>
  <si>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</si>
  <si>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</si>
  <si>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</si>
  <si>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</si>
  <si>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</si>
  <si>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</si>
  <si>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</si>
  <si>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</si>
  <si>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</si>
  <si>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</si>
  <si>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</si>
  <si>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</si>
  <si>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</si>
  <si>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</si>
  <si>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</si>
  <si>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</si>
  <si>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</si>
  <si>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</si>
  <si>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</si>
  <si>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</si>
  <si>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</si>
  <si>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</si>
  <si>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</si>
  <si>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</si>
  <si>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</si>
  <si>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</si>
  <si>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</si>
  <si>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</si>
  <si>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</si>
  <si>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</si>
  <si>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</si>
  <si>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</si>
  <si>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</si>
  <si>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</si>
  <si>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</si>
  <si>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</si>
  <si>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</si>
  <si>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</si>
  <si>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</si>
  <si>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</si>
  <si>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</si>
  <si>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</si>
  <si>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</si>
  <si>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</si>
  <si>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</si>
  <si>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</si>
  <si>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</si>
  <si>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</si>
  <si>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</si>
  <si>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</si>
  <si>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</si>
  <si>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</si>
  <si>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</si>
  <si>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</si>
  <si>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</si>
  <si>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</si>
  <si>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</si>
  <si>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</si>
  <si>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</si>
  <si>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</si>
  <si>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</si>
  <si>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</si>
  <si>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</si>
  <si>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</si>
  <si>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</si>
  <si>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</si>
  <si>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</si>
  <si>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</si>
  <si>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</si>
  <si>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</si>
  <si>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</si>
  <si>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</si>
  <si>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</si>
  <si>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</si>
  <si>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</si>
  <si>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</si>
  <si>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</si>
  <si>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</si>
  <si>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</si>
  <si>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</si>
  <si>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</si>
  <si>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</si>
  <si>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</si>
  <si>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</si>
  <si>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</si>
  <si>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</si>
  <si>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</si>
  <si>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</si>
  <si>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</si>
  <si>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</si>
  <si>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</si>
  <si>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</si>
  <si>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</si>
  <si>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</si>
  <si>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</si>
  <si>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</si>
  <si>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</si>
  <si>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</si>
  <si>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</si>
  <si>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</si>
  <si>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</si>
  <si>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</si>
  <si>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</si>
  <si>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</si>
  <si>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</si>
  <si>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</si>
  <si>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</si>
  <si>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</si>
  <si>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</si>
  <si>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</si>
  <si>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</si>
  <si>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</si>
  <si>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</si>
  <si>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</si>
  <si>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</si>
  <si>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</si>
  <si>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</si>
  <si>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</si>
  <si>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</si>
  <si>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</si>
  <si>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</si>
  <si>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</si>
  <si>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</si>
  <si>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</si>
  <si>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</si>
  <si>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</si>
  <si>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</si>
  <si>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</si>
  <si>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</si>
  <si>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</si>
  <si>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</si>
  <si>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</si>
  <si>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</si>
  <si>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</si>
  <si>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</si>
  <si>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</si>
  <si>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</si>
  <si>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</si>
  <si>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</si>
  <si>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</si>
  <si>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</si>
  <si>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</si>
  <si>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</si>
  <si>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</si>
  <si>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</si>
  <si>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</si>
  <si>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</si>
  <si>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</si>
  <si>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</si>
  <si>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</si>
  <si>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</si>
  <si>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</si>
  <si>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</si>
  <si>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</si>
  <si>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</si>
  <si>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</si>
  <si>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</si>
  <si>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</si>
  <si>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</si>
  <si>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</si>
  <si>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</si>
  <si>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</si>
  <si>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</si>
  <si>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</si>
  <si>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</si>
  <si>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</si>
  <si>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</si>
  <si>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</si>
  <si>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</si>
  <si>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</si>
  <si>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</si>
  <si>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</si>
  <si>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</si>
  <si>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</si>
  <si>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</si>
  <si>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</si>
  <si>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</si>
  <si>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</si>
  <si>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</si>
  <si>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</si>
  <si>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</si>
  <si>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</si>
  <si>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</si>
  <si>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</si>
  <si>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</si>
  <si>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</si>
  <si>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</si>
  <si>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</si>
  <si>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</si>
  <si>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</si>
  <si>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</si>
  <si>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</si>
  <si>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</si>
  <si>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</si>
  <si>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</si>
  <si>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</si>
  <si>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</si>
  <si>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</si>
  <si>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</si>
  <si>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</si>
  <si>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</si>
  <si>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</si>
  <si>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</si>
  <si>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</si>
  <si>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</si>
  <si>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</si>
  <si>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</si>
  <si>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</si>
  <si>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</si>
  <si>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</si>
  <si>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</si>
  <si>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</si>
  <si>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</si>
  <si>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</si>
  <si>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</si>
  <si>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</si>
  <si>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</si>
  <si>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</si>
  <si>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</si>
  <si>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</si>
  <si>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</si>
  <si>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</si>
  <si>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</si>
  <si>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</si>
  <si>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</si>
  <si>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</si>
  <si>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</si>
  <si>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</si>
  <si>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</si>
  <si>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</si>
  <si>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</si>
  <si>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</si>
  <si>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</si>
  <si>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</si>
  <si>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</si>
  <si>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</si>
  <si>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</si>
  <si>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</si>
  <si>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</si>
  <si>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</si>
  <si>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</si>
  <si>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</si>
  <si>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</si>
  <si>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</si>
  <si>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</si>
  <si>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</si>
  <si>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</si>
  <si>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</si>
  <si>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</si>
  <si>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</si>
  <si>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</si>
  <si>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</si>
  <si>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</si>
  <si>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</si>
  <si>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</si>
  <si>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</si>
  <si>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</si>
  <si>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</si>
  <si>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</si>
  <si>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</si>
  <si>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</si>
  <si>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</si>
  <si>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</si>
  <si>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</si>
  <si>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</si>
  <si>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</si>
  <si>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</si>
  <si>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</si>
  <si>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</si>
  <si>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</si>
  <si>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</si>
  <si>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</si>
  <si>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</si>
  <si>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</si>
  <si>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</si>
  <si>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</si>
  <si>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</si>
  <si>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</si>
  <si>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</si>
  <si>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</si>
  <si>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</si>
  <si>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</si>
  <si>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</si>
  <si>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</si>
  <si>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</si>
  <si>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</si>
  <si>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</si>
  <si>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</si>
  <si>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</si>
  <si>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</si>
  <si>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</si>
  <si>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</si>
  <si>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</si>
  <si>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</si>
  <si>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</si>
  <si>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</si>
  <si>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</si>
  <si>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</si>
  <si>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</si>
  <si>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</si>
  <si>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</si>
  <si>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</si>
  <si>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</si>
  <si>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</si>
  <si>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</si>
  <si>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</si>
  <si>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</si>
  <si>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</si>
  <si>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</si>
  <si>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</si>
  <si>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</si>
  <si>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</si>
  <si>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</si>
  <si>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</si>
  <si>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</si>
  <si>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</si>
  <si>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</si>
  <si>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</si>
  <si>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</si>
  <si>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</si>
  <si>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</si>
  <si>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</si>
  <si>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</si>
  <si>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</si>
  <si>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</si>
  <si>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</si>
  <si>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</si>
  <si>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</si>
  <si>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</si>
  <si>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</si>
  <si>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</si>
  <si>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</si>
  <si>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</si>
  <si>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</si>
  <si>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</si>
  <si>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</si>
  <si>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</si>
  <si>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</si>
  <si>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</si>
  <si>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</si>
  <si>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</si>
  <si>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</si>
  <si>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</si>
  <si>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</si>
  <si>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</si>
  <si>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</si>
  <si>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</si>
  <si>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</si>
  <si>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</si>
  <si>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</si>
  <si>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</si>
  <si>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</si>
  <si>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</si>
  <si>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</si>
  <si>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</si>
  <si>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</si>
  <si>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</si>
  <si>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</si>
  <si>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</si>
  <si>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</si>
  <si>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</si>
  <si>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</si>
  <si>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</si>
  <si>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</si>
  <si>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</si>
  <si>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</si>
  <si>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</si>
  <si>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</si>
  <si>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</si>
  <si>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</si>
  <si>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</si>
  <si>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</si>
  <si>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</si>
  <si>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</si>
  <si>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</si>
  <si>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</si>
  <si>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</si>
  <si>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</si>
  <si>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</si>
  <si>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</si>
  <si>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</si>
  <si>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</si>
  <si>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</si>
  <si>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</si>
  <si>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</si>
  <si>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</si>
  <si>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</si>
  <si>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</si>
  <si>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</si>
  <si>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</si>
  <si>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</si>
  <si>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</si>
  <si>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</si>
  <si>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</si>
  <si>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</si>
  <si>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</si>
  <si>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</si>
  <si>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</si>
  <si>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</si>
  <si>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</si>
  <si>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</si>
  <si>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</si>
  <si>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</si>
  <si>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</si>
  <si>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</si>
  <si>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</si>
  <si>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</si>
  <si>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</si>
  <si>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</si>
  <si>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</si>
  <si>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</si>
  <si>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</si>
  <si>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</si>
  <si>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</si>
  <si>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</si>
  <si>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</si>
  <si>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</si>
  <si>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</si>
  <si>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</si>
  <si>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</si>
  <si>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</si>
  <si>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</si>
  <si>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</si>
  <si>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</si>
  <si>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</si>
  <si>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</si>
  <si>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</si>
  <si>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</si>
  <si>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</si>
  <si>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</si>
  <si>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</si>
  <si>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</si>
  <si>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</si>
  <si>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</si>
  <si>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</si>
  <si>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</si>
  <si>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</si>
  <si>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</si>
  <si>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</si>
  <si>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</si>
  <si>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</si>
  <si>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</si>
  <si>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</si>
  <si>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</si>
  <si>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</si>
  <si>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</si>
  <si>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</si>
  <si>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</si>
  <si>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</si>
  <si>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</si>
  <si>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</si>
  <si>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</si>
  <si>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</si>
  <si>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</si>
  <si>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</si>
  <si>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</si>
  <si>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</si>
  <si>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</si>
  <si>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</si>
  <si>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</si>
  <si>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</si>
  <si>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</si>
  <si>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</si>
  <si>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</si>
  <si>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</si>
  <si>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</si>
  <si>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</si>
  <si>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</si>
  <si>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</si>
  <si>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</si>
  <si>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</si>
  <si>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</si>
  <si>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</si>
  <si>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</si>
  <si>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</si>
  <si>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</si>
  <si>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</si>
  <si>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</si>
  <si>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</si>
  <si>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</si>
  <si>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</si>
  <si>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</si>
  <si>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</si>
  <si>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</si>
  <si>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</si>
  <si>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</si>
  <si>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</si>
  <si>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</si>
  <si>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</si>
  <si>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</si>
  <si>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</si>
  <si>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</si>
  <si>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</si>
  <si>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</si>
  <si>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</si>
  <si>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</si>
  <si>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</si>
  <si>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</si>
  <si>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</si>
  <si>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</si>
  <si>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</si>
  <si>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</si>
  <si>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</si>
  <si>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</si>
  <si>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</si>
  <si>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</si>
  <si>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</si>
  <si>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</si>
  <si>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</si>
  <si>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</si>
  <si>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</si>
  <si>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</si>
  <si>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</si>
  <si>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</si>
  <si>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</si>
  <si>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</si>
  <si>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Pomoći proračunu iz drugih proračuna i izvanproračunskim korisnicima</t>
  </si>
  <si>
    <t>Tekuće pomoći proračunu iz drugih proračuna i izvanproračunskim korisnicima</t>
  </si>
  <si>
    <t xml:space="preserve">OSTVARENJE/IZVRŠENJE 
1.-06.2025. </t>
  </si>
  <si>
    <t>IZVORNI PLAN ILI REBALANS 2026.*</t>
  </si>
  <si>
    <t xml:space="preserve">OSTVARENJE/IZVRŠENJE 
1.-06.2026. </t>
  </si>
  <si>
    <t xml:space="preserve">OSTVARENJE/ IZVRŠENJE 
1.-6.2026. </t>
  </si>
  <si>
    <t>6=5/4*100</t>
  </si>
  <si>
    <t>IZVOR 11</t>
  </si>
  <si>
    <t>A679134</t>
  </si>
  <si>
    <t>Doprinosi za obvezno zdrastveno osiguranje</t>
  </si>
  <si>
    <t>Sitan inventar i auto gume</t>
  </si>
  <si>
    <t>Službena, radna i zaštitna odjeća i oprema</t>
  </si>
  <si>
    <t>Zdrastvene i veterinarske usluge</t>
  </si>
  <si>
    <t>Naknada troškova osobama izvan radnog odnosa</t>
  </si>
  <si>
    <t>Rashodi za nabavu neporizvedene dugotrajne imovine</t>
  </si>
  <si>
    <t xml:space="preserve">Knjige </t>
  </si>
  <si>
    <t>Naknada troškova zaposlenima</t>
  </si>
  <si>
    <t>A679135</t>
  </si>
  <si>
    <t>Naknada za prijevoz, rad na terenu i odvojeni život</t>
  </si>
  <si>
    <t>Tekući prijenosi između proračunskih  korisnika istog proračuna</t>
  </si>
  <si>
    <t xml:space="preserve">Ostali rashodi </t>
  </si>
  <si>
    <t>Rashodi za nabavku neproizvedene dugotrajne imovine</t>
  </si>
  <si>
    <t>Rashodi za nabavu proizvedene dugotrajne  imovine</t>
  </si>
  <si>
    <t>Uređaji,strojevi i oprema za ostale namjene</t>
  </si>
  <si>
    <t>Prijevozna sredstva u cestovnom prijevozu</t>
  </si>
  <si>
    <t>Ostale naknade troškova  zaposlenima</t>
  </si>
  <si>
    <t>Prijenosi između proračuna korisnika istog proračuna</t>
  </si>
  <si>
    <t>A679136</t>
  </si>
  <si>
    <t>Telefoni i ostali komunikacijski uređaji</t>
  </si>
  <si>
    <t>FILOZOFSKI FAKULTET U RIJECI</t>
  </si>
  <si>
    <t xml:space="preserve">Programsko financiranje javnih visokih učilišta 2025. - 2029. </t>
  </si>
  <si>
    <t>Programsko i ostalo fianciranje javnih visokih učilišta - iz evidencijskih prihoda</t>
  </si>
  <si>
    <t>Razvoj sustava programskih sporazuma za financiranje sveučilišta i znanstvenih instituta usmjerenih na inovacije, istraživanje i razvoj - NPOO (C3.2.R1-I1)</t>
  </si>
  <si>
    <t>Pomoći iz državnog proračuna kroz opće prihode i primitke</t>
  </si>
  <si>
    <t xml:space="preserve"> Programi Unije - raspoloživ predujam</t>
  </si>
  <si>
    <t>Ostale darovnice</t>
  </si>
  <si>
    <t>Mehanizam za oporavak i otpornost - bespovratna sredstva</t>
  </si>
  <si>
    <t>IZVORNI PLAN  2026.</t>
  </si>
  <si>
    <t>TEKUĆI PLAN  2026</t>
  </si>
  <si>
    <t>TEKUĆI PLAN 2026*</t>
  </si>
  <si>
    <t>Napomena : Iznosi u stupcima "OSTVARENJE/IZVRŠENJE 1.-06.2025." i "OSTVARENJE/IZVRŠENJE 1.-06. 2026." iskazuju se na dvije decimale.</t>
  </si>
  <si>
    <t xml:space="preserve">** Ako Opći i Posebni dio godišnjeg izvještaja ne sadrži "TEKUĆI PLAN 2026.", "INDEKS"("OSTVARENJE/IZVRŠENJE 1.-06.2026."/"TEKUĆI PLAN 2026.") iskazuje se kao "OSTVARENJE/IZVRŠENJE 1.-06.2026."/"IZVORNI PLAN 2026." ODNOSNO "REBALANS 2026." </t>
  </si>
  <si>
    <t>POLUGODIŠNJI IZVJEŠTAJ O IZVRŠENJU FINANCIJSKOG PLANA FILOZOFSKOGA FAKULTETA U RIJECI
ZA 2026. GODINU</t>
  </si>
  <si>
    <t>IZVORNI PLAN ILI REBALANS 2026.</t>
  </si>
  <si>
    <t>TEKUĆI PLAN 2026.</t>
  </si>
  <si>
    <t>IZVOR 31</t>
  </si>
  <si>
    <t>IZVOR 43</t>
  </si>
  <si>
    <t>IZVOR 52</t>
  </si>
  <si>
    <t>IZVOR 5011</t>
  </si>
  <si>
    <t>IZVOR 51000</t>
  </si>
  <si>
    <t>IZVOR 533</t>
  </si>
  <si>
    <t>IZVOR 581</t>
  </si>
  <si>
    <t> Pomoći iz državnog proračuna kroz ostale prihode za posebne namjene</t>
  </si>
  <si>
    <t>51000</t>
  </si>
  <si>
    <t>KLASA: 400-01/26-01/5</t>
  </si>
  <si>
    <t>URBROJ: 2170-1-41-01-26-3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</si>
</sst>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10"/>
      <color rgb="FF000000"/>
      <name val="Open Sans"/>
    </font>
    <font>
      <sz val="8"/>
      <name val="Arial"/>
      <family val="2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</patternFill>
    </fill>
    <fill>
      <patternFill patternType="solid">
        <fgColor indexed="49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67">
    <xf numFmtId="0" fontId="0" fillId="0" borderId="0"/>
    <xf numFmtId="0" fontId="6" fillId="0" borderId="0"/>
    <xf numFmtId="0" fontId="9" fillId="5" borderId="6" applyNumberFormat="0" applyProtection="0">
      <alignment horizontal="left" vertical="center" indent="1"/>
    </xf>
    <xf numFmtId="4" fontId="23" fillId="6" borderId="6" applyNumberFormat="0" applyProtection="0">
      <alignment vertical="center"/>
    </xf>
    <xf numFmtId="0" fontId="17" fillId="7" borderId="6" applyNumberFormat="0" applyProtection="0">
      <alignment horizontal="left" vertical="center" indent="1"/>
    </xf>
    <xf numFmtId="0" fontId="24" fillId="5" borderId="6" applyNumberFormat="0" applyProtection="0">
      <alignment horizontal="center" vertical="center"/>
    </xf>
    <xf numFmtId="0" fontId="22" fillId="0" borderId="6" applyNumberFormat="0" applyProtection="0">
      <alignment horizontal="left" vertical="center" wrapText="1" justifyLastLine="1"/>
    </xf>
    <xf numFmtId="0" fontId="22" fillId="0" borderId="6" applyNumberFormat="0" applyProtection="0">
      <alignment horizontal="left" vertical="center" wrapText="1"/>
    </xf>
    <xf numFmtId="4" fontId="25" fillId="0" borderId="6" applyNumberFormat="0" applyProtection="0">
      <alignment horizontal="right" vertical="center"/>
    </xf>
    <xf numFmtId="0" fontId="22" fillId="0" borderId="6" applyNumberFormat="0" applyProtection="0">
      <alignment horizontal="left" vertical="center" wrapText="1"/>
    </xf>
    <xf numFmtId="0" fontId="27" fillId="0" borderId="6" applyNumberFormat="0" applyProtection="0">
      <alignment horizontal="left" vertical="center" wrapText="1"/>
    </xf>
    <xf numFmtId="4" fontId="23" fillId="8" borderId="6" applyNumberFormat="0" applyProtection="0">
      <alignment horizontal="left" vertical="center" indent="1"/>
    </xf>
    <xf numFmtId="0" fontId="31" fillId="0" borderId="0"/>
    <xf numFmtId="0" fontId="35" fillId="0" borderId="0"/>
    <xf numFmtId="0" fontId="5" fillId="0" borderId="0"/>
    <xf numFmtId="4" fontId="32" fillId="6" borderId="6" applyNumberFormat="0" applyProtection="0">
      <alignment vertical="center"/>
    </xf>
    <xf numFmtId="4" fontId="23" fillId="6" borderId="6" applyNumberFormat="0" applyProtection="0">
      <alignment horizontal="left" vertical="center" indent="1"/>
    </xf>
    <xf numFmtId="4" fontId="23" fillId="6" borderId="6" applyNumberFormat="0" applyProtection="0">
      <alignment horizontal="left" vertical="center" indent="1"/>
    </xf>
    <xf numFmtId="4" fontId="23" fillId="9" borderId="6" applyNumberFormat="0" applyProtection="0">
      <alignment horizontal="right" vertical="center"/>
    </xf>
    <xf numFmtId="4" fontId="23" fillId="10" borderId="6" applyNumberFormat="0" applyProtection="0">
      <alignment horizontal="right" vertical="center"/>
    </xf>
    <xf numFmtId="4" fontId="23" fillId="11" borderId="6" applyNumberFormat="0" applyProtection="0">
      <alignment horizontal="right" vertical="center"/>
    </xf>
    <xf numFmtId="4" fontId="23" fillId="12" borderId="6" applyNumberFormat="0" applyProtection="0">
      <alignment horizontal="right" vertical="center"/>
    </xf>
    <xf numFmtId="4" fontId="23" fillId="13" borderId="6" applyNumberFormat="0" applyProtection="0">
      <alignment horizontal="right" vertical="center"/>
    </xf>
    <xf numFmtId="4" fontId="23" fillId="14" borderId="6" applyNumberFormat="0" applyProtection="0">
      <alignment horizontal="right" vertical="center"/>
    </xf>
    <xf numFmtId="4" fontId="23" fillId="15" borderId="6" applyNumberFormat="0" applyProtection="0">
      <alignment horizontal="right" vertical="center"/>
    </xf>
    <xf numFmtId="4" fontId="23" fillId="16" borderId="6" applyNumberFormat="0" applyProtection="0">
      <alignment horizontal="right" vertical="center"/>
    </xf>
    <xf numFmtId="4" fontId="23" fillId="17" borderId="6" applyNumberFormat="0" applyProtection="0">
      <alignment horizontal="right" vertical="center"/>
    </xf>
    <xf numFmtId="4" fontId="28" fillId="18" borderId="6" applyNumberFormat="0" applyProtection="0">
      <alignment horizontal="left" vertical="center" indent="1"/>
    </xf>
    <xf numFmtId="4" fontId="23" fillId="19" borderId="8" applyNumberFormat="0" applyProtection="0">
      <alignment horizontal="left" vertical="center" indent="1"/>
    </xf>
    <xf numFmtId="4" fontId="7" fillId="20" borderId="0" applyNumberFormat="0" applyProtection="0">
      <alignment horizontal="left" vertical="center" indent="1"/>
    </xf>
    <xf numFmtId="4" fontId="16" fillId="19" borderId="6" applyNumberFormat="0" applyProtection="0">
      <alignment horizontal="left" vertical="center" indent="1"/>
    </xf>
    <xf numFmtId="4" fontId="16" fillId="7" borderId="6" applyNumberFormat="0" applyProtection="0">
      <alignment horizontal="left" vertical="center" indent="1"/>
    </xf>
    <xf numFmtId="0" fontId="17" fillId="21" borderId="6" applyNumberFormat="0" applyProtection="0">
      <alignment horizontal="left" vertical="center" indent="1"/>
    </xf>
    <xf numFmtId="0" fontId="17" fillId="22" borderId="6" applyNumberFormat="0" applyProtection="0">
      <alignment horizontal="left" vertical="center" indent="1"/>
    </xf>
    <xf numFmtId="0" fontId="17" fillId="23" borderId="6" applyNumberFormat="0" applyProtection="0">
      <alignment horizontal="left" vertical="center" indent="1"/>
    </xf>
    <xf numFmtId="0" fontId="31" fillId="0" borderId="0"/>
    <xf numFmtId="0" fontId="35" fillId="0" borderId="0"/>
    <xf numFmtId="4" fontId="23" fillId="8" borderId="6" applyNumberFormat="0" applyProtection="0">
      <alignment vertical="center"/>
    </xf>
    <xf numFmtId="4" fontId="32" fillId="8" borderId="6" applyNumberFormat="0" applyProtection="0">
      <alignment vertical="center"/>
    </xf>
    <xf numFmtId="4" fontId="23" fillId="8" borderId="6" applyNumberFormat="0" applyProtection="0">
      <alignment horizontal="left" vertical="center" indent="1"/>
    </xf>
    <xf numFmtId="4" fontId="32" fillId="19" borderId="6" applyNumberFormat="0" applyProtection="0">
      <alignment horizontal="right" vertical="center"/>
    </xf>
    <xf numFmtId="0" fontId="27" fillId="23" borderId="6" applyNumberFormat="0" applyProtection="0">
      <alignment horizontal="left" vertical="center" indent="1"/>
    </xf>
    <xf numFmtId="0" fontId="9" fillId="5" borderId="6" applyNumberFormat="0" applyProtection="0">
      <alignment horizontal="center" vertical="top" wrapText="1"/>
    </xf>
    <xf numFmtId="0" fontId="34" fillId="0" borderId="0" applyNumberFormat="0" applyProtection="0"/>
    <xf numFmtId="4" fontId="33" fillId="19" borderId="6" applyNumberFormat="0" applyProtection="0">
      <alignment horizontal="right" vertical="center"/>
    </xf>
    <xf numFmtId="0" fontId="4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45" fillId="28" borderId="9" applyNumberFormat="0" applyProtection="0">
      <alignment horizontal="left" vertical="center" indent="1"/>
    </xf>
    <xf numFmtId="0" fontId="38" fillId="0" borderId="0"/>
    <xf numFmtId="164" fontId="39" fillId="0" borderId="0"/>
    <xf numFmtId="0" fontId="40" fillId="0" borderId="0">
      <alignment vertical="top"/>
      <protection locked="0"/>
    </xf>
    <xf numFmtId="0" fontId="41" fillId="0" borderId="0"/>
    <xf numFmtId="0" fontId="35" fillId="0" borderId="0"/>
    <xf numFmtId="0" fontId="39" fillId="0" borderId="0"/>
    <xf numFmtId="0" fontId="35" fillId="0" borderId="0"/>
    <xf numFmtId="0" fontId="44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4" fontId="45" fillId="0" borderId="9" applyNumberFormat="0" applyProtection="0">
      <alignment horizontal="right" vertical="center"/>
    </xf>
    <xf numFmtId="0" fontId="2" fillId="0" borderId="0"/>
    <xf numFmtId="0" fontId="2" fillId="0" borderId="0"/>
    <xf numFmtId="4" fontId="45" fillId="29" borderId="9" applyNumberFormat="0" applyProtection="0">
      <alignment horizontal="left" vertical="center" indent="1"/>
    </xf>
  </cellStyleXfs>
  <cellXfs count="293">
    <xf numFmtId="0" fontId="0" fillId="0" borderId="0" xfId="0"/>
    <xf numFmtId="0" fontId="0" fillId="0" borderId="0" xfId="0" applyFill="1"/>
    <xf numFmtId="0" fontId="8" fillId="0" borderId="0" xfId="1" applyFont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3" fontId="8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4" fontId="7" fillId="0" borderId="0" xfId="1" applyNumberFormat="1" applyFont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right" vertical="center"/>
    </xf>
    <xf numFmtId="4" fontId="13" fillId="0" borderId="2" xfId="1" quotePrefix="1" applyNumberFormat="1" applyFont="1" applyBorder="1" applyAlignment="1">
      <alignment horizontal="center" vertical="center" wrapText="1"/>
    </xf>
    <xf numFmtId="3" fontId="13" fillId="0" borderId="2" xfId="1" quotePrefix="1" applyNumberFormat="1" applyFont="1" applyBorder="1" applyAlignment="1">
      <alignment horizontal="center" vertical="center" wrapText="1"/>
    </xf>
    <xf numFmtId="3" fontId="14" fillId="2" borderId="2" xfId="1" applyNumberFormat="1" applyFont="1" applyFill="1" applyBorder="1" applyAlignment="1">
      <alignment horizontal="center" vertical="center" wrapText="1"/>
    </xf>
    <xf numFmtId="4" fontId="14" fillId="2" borderId="2" xfId="1" applyNumberFormat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vertical="center" wrapText="1"/>
    </xf>
    <xf numFmtId="3" fontId="9" fillId="0" borderId="2" xfId="1" applyNumberFormat="1" applyFont="1" applyFill="1" applyBorder="1" applyAlignment="1">
      <alignment vertical="center" wrapText="1"/>
    </xf>
    <xf numFmtId="4" fontId="9" fillId="0" borderId="2" xfId="1" applyNumberFormat="1" applyFont="1" applyFill="1" applyBorder="1" applyAlignment="1">
      <alignment horizontal="right" vertical="center" wrapText="1"/>
    </xf>
    <xf numFmtId="4" fontId="9" fillId="3" borderId="2" xfId="1" applyNumberFormat="1" applyFont="1" applyFill="1" applyBorder="1" applyAlignment="1">
      <alignment vertical="center"/>
    </xf>
    <xf numFmtId="3" fontId="9" fillId="3" borderId="2" xfId="1" applyNumberFormat="1" applyFont="1" applyFill="1" applyBorder="1" applyAlignment="1">
      <alignment vertical="center"/>
    </xf>
    <xf numFmtId="0" fontId="9" fillId="3" borderId="3" xfId="1" applyFont="1" applyFill="1" applyBorder="1" applyAlignment="1">
      <alignment horizontal="left" vertical="center"/>
    </xf>
    <xf numFmtId="0" fontId="9" fillId="3" borderId="4" xfId="1" applyFont="1" applyFill="1" applyBorder="1" applyAlignment="1">
      <alignment vertical="center"/>
    </xf>
    <xf numFmtId="4" fontId="9" fillId="3" borderId="2" xfId="1" applyNumberFormat="1" applyFont="1" applyFill="1" applyBorder="1" applyAlignment="1">
      <alignment vertical="center" wrapText="1"/>
    </xf>
    <xf numFmtId="3" fontId="9" fillId="3" borderId="2" xfId="1" applyNumberFormat="1" applyFont="1" applyFill="1" applyBorder="1" applyAlignment="1">
      <alignment vertical="center" wrapText="1"/>
    </xf>
    <xf numFmtId="0" fontId="15" fillId="0" borderId="0" xfId="1" applyFont="1" applyAlignment="1">
      <alignment horizontal="center" vertical="center" wrapText="1"/>
    </xf>
    <xf numFmtId="4" fontId="15" fillId="0" borderId="0" xfId="1" applyNumberFormat="1" applyFont="1" applyAlignment="1">
      <alignment horizontal="center" vertical="center" wrapText="1"/>
    </xf>
    <xf numFmtId="3" fontId="15" fillId="0" borderId="0" xfId="1" applyNumberFormat="1" applyFont="1" applyAlignment="1">
      <alignment horizontal="center" vertical="center" wrapText="1"/>
    </xf>
    <xf numFmtId="4" fontId="16" fillId="0" borderId="0" xfId="1" applyNumberFormat="1" applyFont="1"/>
    <xf numFmtId="4" fontId="0" fillId="0" borderId="0" xfId="0" applyNumberFormat="1" applyFill="1"/>
    <xf numFmtId="3" fontId="0" fillId="0" borderId="0" xfId="0" applyNumberFormat="1" applyFill="1"/>
    <xf numFmtId="0" fontId="18" fillId="0" borderId="0" xfId="0" applyFont="1" applyFill="1"/>
    <xf numFmtId="0" fontId="18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wrapText="1"/>
    </xf>
    <xf numFmtId="4" fontId="18" fillId="0" borderId="0" xfId="0" applyNumberFormat="1" applyFont="1" applyFill="1"/>
    <xf numFmtId="3" fontId="18" fillId="0" borderId="0" xfId="0" applyNumberFormat="1" applyFont="1" applyFill="1"/>
    <xf numFmtId="0" fontId="7" fillId="0" borderId="0" xfId="14" applyFont="1" applyFill="1" applyAlignment="1">
      <alignment vertical="center" wrapText="1"/>
    </xf>
    <xf numFmtId="0" fontId="18" fillId="0" borderId="0" xfId="12" applyFont="1" applyFill="1" applyAlignment="1">
      <alignment horizontal="center" vertical="center"/>
    </xf>
    <xf numFmtId="0" fontId="31" fillId="0" borderId="0" xfId="12" applyFill="1"/>
    <xf numFmtId="0" fontId="31" fillId="0" borderId="0" xfId="12" applyFill="1" applyBorder="1"/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0" fontId="17" fillId="0" borderId="0" xfId="12" applyFont="1" applyFill="1" applyBorder="1"/>
    <xf numFmtId="0" fontId="27" fillId="0" borderId="0" xfId="12" applyFont="1" applyFill="1" applyBorder="1"/>
    <xf numFmtId="0" fontId="27" fillId="0" borderId="0" xfId="10" quotePrefix="1" applyFont="1" applyFill="1" applyBorder="1">
      <alignment horizontal="left" vertical="center" wrapText="1"/>
    </xf>
    <xf numFmtId="0" fontId="25" fillId="0" borderId="0" xfId="8" applyNumberFormat="1" applyFont="1" applyFill="1" applyBorder="1">
      <alignment horizontal="right" vertical="center"/>
    </xf>
    <xf numFmtId="0" fontId="27" fillId="0" borderId="0" xfId="10" quotePrefix="1" applyFont="1" applyFill="1" applyBorder="1" applyAlignment="1">
      <alignment horizontal="left" vertical="center" wrapText="1" indent="6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8" fillId="0" borderId="0" xfId="14" applyFont="1" applyFill="1" applyAlignment="1">
      <alignment horizontal="center" vertical="center" wrapText="1"/>
    </xf>
    <xf numFmtId="4" fontId="25" fillId="0" borderId="0" xfId="8" applyNumberFormat="1" applyFont="1" applyFill="1" applyBorder="1">
      <alignment horizontal="right" vertical="center"/>
    </xf>
    <xf numFmtId="0" fontId="27" fillId="0" borderId="0" xfId="10" quotePrefix="1" applyFont="1" applyFill="1" applyBorder="1">
      <alignment horizontal="left" vertical="center" wrapText="1"/>
    </xf>
    <xf numFmtId="0" fontId="27" fillId="0" borderId="0" xfId="10" quotePrefix="1" applyFont="1" applyFill="1" applyBorder="1" applyAlignment="1">
      <alignment horizontal="left" vertical="center" wrapText="1" indent="8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31" fillId="0" borderId="0" xfId="12"/>
    <xf numFmtId="0" fontId="18" fillId="0" borderId="0" xfId="12" applyFont="1" applyFill="1" applyAlignment="1">
      <alignment horizontal="center" vertical="center"/>
    </xf>
    <xf numFmtId="0" fontId="21" fillId="0" borderId="0" xfId="12" applyFont="1" applyFill="1" applyAlignment="1">
      <alignment horizontal="center" vertical="center"/>
    </xf>
    <xf numFmtId="0" fontId="18" fillId="0" borderId="0" xfId="12" applyFont="1" applyFill="1" applyBorder="1"/>
    <xf numFmtId="0" fontId="31" fillId="0" borderId="0" xfId="12" applyFill="1"/>
    <xf numFmtId="0" fontId="31" fillId="0" borderId="0" xfId="12" applyFill="1" applyBorder="1"/>
    <xf numFmtId="0" fontId="9" fillId="0" borderId="0" xfId="2" quotePrefix="1" applyNumberFormat="1" applyFill="1" applyBorder="1">
      <alignment horizontal="left" vertical="center" indent="1"/>
    </xf>
    <xf numFmtId="0" fontId="22" fillId="0" borderId="0" xfId="12" applyFont="1" applyFill="1" applyBorder="1"/>
    <xf numFmtId="0" fontId="9" fillId="0" borderId="0" xfId="12" applyFont="1" applyFill="1" applyBorder="1"/>
    <xf numFmtId="0" fontId="29" fillId="0" borderId="0" xfId="12" applyFont="1" applyFill="1" applyBorder="1"/>
    <xf numFmtId="0" fontId="24" fillId="0" borderId="0" xfId="5" quotePrefix="1" applyFill="1" applyBorder="1">
      <alignment horizontal="center" vertical="center"/>
    </xf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0" fontId="22" fillId="0" borderId="0" xfId="6" quotePrefix="1" applyFont="1" applyFill="1" applyBorder="1" applyAlignment="1">
      <alignment horizontal="left" vertical="center" wrapText="1" indent="2" justifyLastLine="1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27" fillId="0" borderId="0" xfId="12" applyFont="1" applyFill="1" applyBorder="1"/>
    <xf numFmtId="4" fontId="28" fillId="0" borderId="0" xfId="3" applyNumberFormat="1" applyFont="1" applyFill="1" applyBorder="1">
      <alignment vertical="center"/>
    </xf>
    <xf numFmtId="3" fontId="28" fillId="0" borderId="0" xfId="3" applyNumberFormat="1" applyFont="1" applyFill="1" applyBorder="1">
      <alignment vertical="center"/>
    </xf>
    <xf numFmtId="4" fontId="25" fillId="0" borderId="0" xfId="8" applyNumberFormat="1" applyFont="1" applyFill="1" applyBorder="1">
      <alignment horizontal="right" vertical="center"/>
    </xf>
    <xf numFmtId="0" fontId="27" fillId="0" borderId="0" xfId="9" quotePrefix="1" applyFont="1" applyFill="1" applyBorder="1" applyAlignment="1">
      <alignment horizontal="left" vertical="center" wrapText="1" indent="4"/>
    </xf>
    <xf numFmtId="0" fontId="27" fillId="0" borderId="0" xfId="9" quotePrefix="1" applyFont="1" applyFill="1" applyBorder="1">
      <alignment horizontal="left" vertical="center" wrapText="1"/>
    </xf>
    <xf numFmtId="3" fontId="25" fillId="0" borderId="0" xfId="8" applyNumberFormat="1" applyFont="1" applyFill="1" applyBorder="1">
      <alignment horizontal="right" vertical="center"/>
    </xf>
    <xf numFmtId="0" fontId="31" fillId="0" borderId="0" xfId="12"/>
    <xf numFmtId="0" fontId="18" fillId="0" borderId="0" xfId="12" applyFont="1" applyFill="1" applyAlignment="1">
      <alignment horizontal="center" vertical="center"/>
    </xf>
    <xf numFmtId="0" fontId="21" fillId="0" borderId="0" xfId="12" applyFont="1" applyFill="1" applyAlignment="1">
      <alignment horizontal="center" vertical="center"/>
    </xf>
    <xf numFmtId="0" fontId="31" fillId="0" borderId="0" xfId="12" applyFill="1"/>
    <xf numFmtId="0" fontId="22" fillId="0" borderId="0" xfId="7" quotePrefix="1" applyFont="1" applyFill="1" applyBorder="1" applyAlignment="1">
      <alignment horizontal="left" vertical="center" wrapText="1" indent="3"/>
    </xf>
    <xf numFmtId="0" fontId="22" fillId="0" borderId="0" xfId="12" applyFont="1" applyFill="1" applyBorder="1"/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0" fontId="22" fillId="0" borderId="0" xfId="7" quotePrefix="1" applyFont="1" applyFill="1" applyBorder="1">
      <alignment horizontal="left" vertical="center" wrapText="1"/>
    </xf>
    <xf numFmtId="4" fontId="26" fillId="0" borderId="0" xfId="8" applyNumberFormat="1" applyFont="1" applyFill="1" applyBorder="1">
      <alignment horizontal="right" vertical="center"/>
    </xf>
    <xf numFmtId="3" fontId="26" fillId="0" borderId="0" xfId="8" applyNumberFormat="1" applyFont="1" applyFill="1" applyBorder="1">
      <alignment horizontal="right" vertical="center"/>
    </xf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0" fontId="27" fillId="0" borderId="0" xfId="12" applyFont="1" applyFill="1" applyBorder="1"/>
    <xf numFmtId="0" fontId="27" fillId="0" borderId="0" xfId="9" quotePrefix="1" applyFont="1" applyFill="1" applyBorder="1" applyAlignment="1">
      <alignment horizontal="left" vertical="center" wrapText="1" indent="4"/>
    </xf>
    <xf numFmtId="0" fontId="27" fillId="0" borderId="0" xfId="9" quotePrefix="1" applyFont="1" applyFill="1" applyBorder="1">
      <alignment horizontal="left" vertical="center" wrapText="1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31" fillId="0" borderId="0" xfId="12" applyFill="1" applyBorder="1"/>
    <xf numFmtId="0" fontId="21" fillId="0" borderId="0" xfId="12" applyFont="1" applyFill="1" applyBorder="1" applyAlignment="1">
      <alignment horizontal="center" vertical="center"/>
    </xf>
    <xf numFmtId="0" fontId="22" fillId="0" borderId="0" xfId="12" applyFont="1" applyFill="1" applyBorder="1"/>
    <xf numFmtId="0" fontId="9" fillId="0" borderId="0" xfId="12" applyFont="1" applyFill="1" applyBorder="1"/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0" fontId="17" fillId="0" borderId="0" xfId="12" applyFont="1" applyFill="1" applyBorder="1"/>
    <xf numFmtId="0" fontId="27" fillId="0" borderId="0" xfId="12" applyFont="1" applyFill="1" applyBorder="1"/>
    <xf numFmtId="0" fontId="27" fillId="0" borderId="0" xfId="9" quotePrefix="1" applyFont="1" applyFill="1" applyBorder="1" applyAlignment="1">
      <alignment horizontal="left" vertical="center" wrapText="1" indent="4"/>
    </xf>
    <xf numFmtId="0" fontId="27" fillId="0" borderId="0" xfId="9" quotePrefix="1" applyFont="1" applyFill="1" applyBorder="1">
      <alignment horizontal="left" vertical="center" wrapText="1"/>
    </xf>
    <xf numFmtId="0" fontId="31" fillId="0" borderId="0" xfId="12"/>
    <xf numFmtId="0" fontId="18" fillId="0" borderId="0" xfId="12" applyFont="1" applyFill="1" applyAlignment="1">
      <alignment horizontal="center" vertical="center"/>
    </xf>
    <xf numFmtId="0" fontId="21" fillId="0" borderId="0" xfId="12" applyFont="1" applyFill="1" applyAlignment="1">
      <alignment horizontal="center" vertical="center"/>
    </xf>
    <xf numFmtId="0" fontId="18" fillId="0" borderId="0" xfId="12" applyFont="1" applyFill="1" applyBorder="1"/>
    <xf numFmtId="0" fontId="31" fillId="0" borderId="0" xfId="12" applyFill="1"/>
    <xf numFmtId="0" fontId="31" fillId="0" borderId="0" xfId="12" applyFill="1" applyBorder="1"/>
    <xf numFmtId="0" fontId="9" fillId="0" borderId="0" xfId="2" quotePrefix="1" applyNumberFormat="1" applyFill="1" applyBorder="1">
      <alignment horizontal="left" vertical="center" indent="1"/>
    </xf>
    <xf numFmtId="0" fontId="22" fillId="0" borderId="0" xfId="12" applyFont="1" applyFill="1" applyBorder="1"/>
    <xf numFmtId="0" fontId="9" fillId="0" borderId="0" xfId="12" applyFont="1" applyFill="1" applyBorder="1"/>
    <xf numFmtId="0" fontId="24" fillId="0" borderId="0" xfId="5" quotePrefix="1" applyFill="1" applyBorder="1">
      <alignment horizontal="center" vertical="center"/>
    </xf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4" fontId="25" fillId="0" borderId="0" xfId="8" applyNumberFormat="1" applyFont="1" applyFill="1" applyBorder="1">
      <alignment horizontal="right" vertical="center"/>
    </xf>
    <xf numFmtId="0" fontId="17" fillId="0" borderId="0" xfId="12" applyFont="1" applyFill="1" applyBorder="1"/>
    <xf numFmtId="0" fontId="27" fillId="0" borderId="0" xfId="12" applyFont="1" applyFill="1" applyBorder="1"/>
    <xf numFmtId="0" fontId="27" fillId="0" borderId="0" xfId="10" quotePrefix="1" applyFont="1" applyFill="1" applyBorder="1">
      <alignment horizontal="left" vertical="center" wrapText="1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27" fillId="0" borderId="0" xfId="10" quotePrefix="1" applyFont="1" applyFill="1" applyBorder="1" applyAlignment="1">
      <alignment horizontal="left" vertical="center" wrapText="1" indent="7"/>
    </xf>
    <xf numFmtId="0" fontId="25" fillId="0" borderId="0" xfId="8" applyNumberFormat="1" applyFont="1" applyFill="1" applyBorder="1">
      <alignment horizontal="right" vertical="center"/>
    </xf>
    <xf numFmtId="0" fontId="31" fillId="0" borderId="0" xfId="12"/>
    <xf numFmtId="0" fontId="18" fillId="0" borderId="0" xfId="12" applyFont="1" applyFill="1" applyAlignment="1">
      <alignment horizontal="center" vertical="center"/>
    </xf>
    <xf numFmtId="0" fontId="21" fillId="0" borderId="0" xfId="12" applyFont="1" applyFill="1" applyAlignment="1">
      <alignment horizontal="center" vertical="center"/>
    </xf>
    <xf numFmtId="0" fontId="31" fillId="0" borderId="0" xfId="12" applyFill="1"/>
    <xf numFmtId="0" fontId="31" fillId="0" borderId="0" xfId="12" applyFill="1" applyBorder="1"/>
    <xf numFmtId="0" fontId="9" fillId="0" borderId="0" xfId="12" applyFont="1" applyFill="1" applyBorder="1"/>
    <xf numFmtId="4" fontId="13" fillId="0" borderId="0" xfId="3" applyNumberFormat="1" applyFont="1" applyFill="1" applyBorder="1">
      <alignment vertical="center"/>
    </xf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0" fontId="17" fillId="0" borderId="0" xfId="12" applyFont="1" applyFill="1" applyBorder="1"/>
    <xf numFmtId="0" fontId="27" fillId="0" borderId="0" xfId="12" applyFont="1" applyFill="1" applyBorder="1"/>
    <xf numFmtId="0" fontId="27" fillId="0" borderId="0" xfId="9" quotePrefix="1" applyFont="1" applyFill="1" applyBorder="1">
      <alignment horizontal="left" vertical="center" wrapText="1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17" fillId="0" borderId="0" xfId="2" quotePrefix="1" applyNumberFormat="1" applyFont="1" applyFill="1" applyBorder="1">
      <alignment horizontal="left" vertical="center" indent="1"/>
    </xf>
    <xf numFmtId="0" fontId="30" fillId="0" borderId="0" xfId="5" quotePrefix="1" applyFont="1" applyFill="1" applyBorder="1">
      <alignment horizontal="center" vertical="center"/>
    </xf>
    <xf numFmtId="3" fontId="25" fillId="0" borderId="0" xfId="8" applyNumberFormat="1" applyFont="1" applyFill="1" applyBorder="1">
      <alignment horizontal="right" vertical="center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18" fillId="0" borderId="0" xfId="12" applyFont="1" applyFill="1" applyBorder="1"/>
    <xf numFmtId="0" fontId="22" fillId="0" borderId="0" xfId="12" applyFont="1" applyFill="1" applyBorder="1"/>
    <xf numFmtId="0" fontId="8" fillId="0" borderId="0" xfId="14" applyFont="1" applyFill="1" applyAlignment="1">
      <alignment horizontal="center" vertical="center" wrapText="1"/>
    </xf>
    <xf numFmtId="0" fontId="27" fillId="0" borderId="0" xfId="12" applyFont="1" applyFill="1" applyBorder="1"/>
    <xf numFmtId="0" fontId="27" fillId="0" borderId="0" xfId="10" quotePrefix="1" applyFont="1" applyFill="1" applyBorder="1">
      <alignment horizontal="left" vertical="center" wrapText="1"/>
    </xf>
    <xf numFmtId="0" fontId="27" fillId="0" borderId="0" xfId="10" quotePrefix="1" applyFont="1" applyFill="1" applyBorder="1" applyAlignment="1">
      <alignment horizontal="left" vertical="center" wrapText="1" indent="6"/>
    </xf>
    <xf numFmtId="0" fontId="27" fillId="0" borderId="0" xfId="10" quotePrefix="1" applyFont="1" applyFill="1" applyBorder="1" applyAlignment="1">
      <alignment horizontal="left" vertical="center" wrapText="1" indent="7"/>
    </xf>
    <xf numFmtId="0" fontId="25" fillId="0" borderId="0" xfId="8" applyNumberFormat="1" applyFont="1" applyFill="1" applyBorder="1">
      <alignment horizontal="right" vertical="center"/>
    </xf>
    <xf numFmtId="4" fontId="25" fillId="0" borderId="0" xfId="8" applyNumberFormat="1" applyFont="1" applyFill="1" applyBorder="1">
      <alignment horizontal="right" vertical="center"/>
    </xf>
    <xf numFmtId="0" fontId="25" fillId="24" borderId="0" xfId="8" applyNumberFormat="1" applyFont="1" applyFill="1" applyBorder="1">
      <alignment horizontal="right" vertical="center"/>
    </xf>
    <xf numFmtId="3" fontId="25" fillId="24" borderId="0" xfId="8" applyNumberFormat="1" applyFont="1" applyFill="1" applyBorder="1">
      <alignment horizontal="right" vertical="center"/>
    </xf>
    <xf numFmtId="4" fontId="8" fillId="0" borderId="0" xfId="14" applyNumberFormat="1" applyFont="1" applyFill="1" applyAlignment="1">
      <alignment horizontal="center" vertical="center" wrapText="1"/>
    </xf>
    <xf numFmtId="4" fontId="25" fillId="24" borderId="0" xfId="8" applyNumberFormat="1" applyFont="1" applyFill="1" applyBorder="1">
      <alignment horizontal="right" vertical="center"/>
    </xf>
    <xf numFmtId="0" fontId="27" fillId="24" borderId="0" xfId="10" quotePrefix="1" applyFont="1" applyFill="1" applyBorder="1" applyAlignment="1">
      <alignment horizontal="left" vertical="center" wrapText="1" indent="5"/>
    </xf>
    <xf numFmtId="0" fontId="27" fillId="24" borderId="0" xfId="10" quotePrefix="1" applyFont="1" applyFill="1" applyBorder="1">
      <alignment horizontal="left" vertical="center" wrapText="1"/>
    </xf>
    <xf numFmtId="0" fontId="27" fillId="24" borderId="0" xfId="9" quotePrefix="1" applyFont="1" applyFill="1" applyBorder="1" applyAlignment="1">
      <alignment horizontal="left" vertical="center" wrapText="1" indent="4"/>
    </xf>
    <xf numFmtId="0" fontId="27" fillId="24" borderId="0" xfId="9" quotePrefix="1" applyFont="1" applyFill="1" applyBorder="1">
      <alignment horizontal="left" vertical="center" wrapText="1"/>
    </xf>
    <xf numFmtId="0" fontId="22" fillId="24" borderId="0" xfId="7" quotePrefix="1" applyFont="1" applyFill="1" applyBorder="1" applyAlignment="1">
      <alignment horizontal="left" vertical="center" wrapText="1" indent="3"/>
    </xf>
    <xf numFmtId="0" fontId="22" fillId="24" borderId="0" xfId="7" quotePrefix="1" applyFont="1" applyFill="1" applyBorder="1">
      <alignment horizontal="left" vertical="center" wrapText="1"/>
    </xf>
    <xf numFmtId="4" fontId="26" fillId="24" borderId="0" xfId="8" applyNumberFormat="1" applyFont="1" applyFill="1" applyBorder="1">
      <alignment horizontal="right" vertical="center"/>
    </xf>
    <xf numFmtId="3" fontId="26" fillId="24" borderId="0" xfId="8" applyNumberFormat="1" applyFont="1" applyFill="1" applyBorder="1">
      <alignment horizontal="right" vertical="center"/>
    </xf>
    <xf numFmtId="0" fontId="22" fillId="25" borderId="0" xfId="6" quotePrefix="1" applyFont="1" applyFill="1" applyBorder="1" applyAlignment="1">
      <alignment horizontal="left" vertical="center" wrapText="1" indent="2" justifyLastLine="1"/>
    </xf>
    <xf numFmtId="4" fontId="28" fillId="25" borderId="0" xfId="3" applyNumberFormat="1" applyFont="1" applyFill="1" applyBorder="1">
      <alignment vertical="center"/>
    </xf>
    <xf numFmtId="3" fontId="28" fillId="25" borderId="0" xfId="3" applyNumberFormat="1" applyFont="1" applyFill="1" applyBorder="1">
      <alignment vertical="center"/>
    </xf>
    <xf numFmtId="4" fontId="26" fillId="26" borderId="0" xfId="8" applyNumberFormat="1" applyFont="1" applyFill="1" applyBorder="1">
      <alignment horizontal="right" vertical="center"/>
    </xf>
    <xf numFmtId="3" fontId="26" fillId="26" borderId="0" xfId="8" applyNumberFormat="1" applyFont="1" applyFill="1" applyBorder="1">
      <alignment horizontal="right" vertical="center"/>
    </xf>
    <xf numFmtId="4" fontId="13" fillId="26" borderId="0" xfId="3" applyNumberFormat="1" applyFont="1" applyFill="1" applyBorder="1">
      <alignment vertical="center"/>
    </xf>
    <xf numFmtId="0" fontId="22" fillId="25" borderId="0" xfId="7" quotePrefix="1" applyFont="1" applyFill="1" applyBorder="1" applyAlignment="1">
      <alignment horizontal="left" vertical="center" wrapText="1" indent="3"/>
    </xf>
    <xf numFmtId="0" fontId="22" fillId="25" borderId="0" xfId="7" quotePrefix="1" applyFont="1" applyFill="1" applyBorder="1">
      <alignment horizontal="left" vertical="center" wrapText="1"/>
    </xf>
    <xf numFmtId="4" fontId="26" fillId="25" borderId="0" xfId="8" applyNumberFormat="1" applyFont="1" applyFill="1" applyBorder="1">
      <alignment horizontal="right" vertical="center"/>
    </xf>
    <xf numFmtId="3" fontId="26" fillId="25" borderId="0" xfId="8" applyNumberFormat="1" applyFont="1" applyFill="1" applyBorder="1">
      <alignment horizontal="right" vertical="center"/>
    </xf>
    <xf numFmtId="4" fontId="13" fillId="25" borderId="0" xfId="3" applyNumberFormat="1" applyFont="1" applyFill="1" applyBorder="1">
      <alignment vertical="center"/>
    </xf>
    <xf numFmtId="0" fontId="21" fillId="25" borderId="0" xfId="12" applyFont="1" applyFill="1" applyBorder="1" applyAlignment="1">
      <alignment horizontal="center" vertical="center"/>
    </xf>
    <xf numFmtId="0" fontId="21" fillId="26" borderId="0" xfId="12" applyFont="1" applyFill="1" applyBorder="1" applyAlignment="1">
      <alignment horizontal="center" vertical="center"/>
    </xf>
    <xf numFmtId="3" fontId="22" fillId="26" borderId="0" xfId="12" applyNumberFormat="1" applyFont="1" applyFill="1" applyBorder="1" applyAlignment="1">
      <alignment vertical="center" wrapText="1" justifyLastLine="1"/>
    </xf>
    <xf numFmtId="3" fontId="22" fillId="26" borderId="0" xfId="12" applyNumberFormat="1" applyFont="1" applyFill="1" applyBorder="1" applyAlignment="1">
      <alignment vertical="top" wrapText="1" justifyLastLine="1"/>
    </xf>
    <xf numFmtId="3" fontId="13" fillId="26" borderId="0" xfId="3" applyNumberFormat="1" applyFont="1" applyFill="1" applyBorder="1">
      <alignment vertical="center"/>
    </xf>
    <xf numFmtId="3" fontId="22" fillId="25" borderId="0" xfId="12" applyNumberFormat="1" applyFont="1" applyFill="1" applyBorder="1" applyAlignment="1">
      <alignment vertical="top" wrapText="1" justifyLastLine="1"/>
    </xf>
    <xf numFmtId="0" fontId="27" fillId="24" borderId="0" xfId="10" quotePrefix="1" applyFont="1" applyFill="1" applyBorder="1" applyAlignment="1">
      <alignment horizontal="left" vertical="center" wrapText="1" indent="6"/>
    </xf>
    <xf numFmtId="0" fontId="27" fillId="25" borderId="0" xfId="10" quotePrefix="1" applyFont="1" applyFill="1" applyBorder="1" applyAlignment="1">
      <alignment horizontal="left" vertical="center" wrapText="1" indent="5"/>
    </xf>
    <xf numFmtId="0" fontId="27" fillId="25" borderId="0" xfId="10" quotePrefix="1" applyFont="1" applyFill="1" applyBorder="1">
      <alignment horizontal="left" vertical="center" wrapText="1"/>
    </xf>
    <xf numFmtId="4" fontId="36" fillId="24" borderId="0" xfId="8" applyNumberFormat="1" applyFont="1" applyFill="1" applyBorder="1">
      <alignment horizontal="right" vertical="center"/>
    </xf>
    <xf numFmtId="3" fontId="36" fillId="24" borderId="0" xfId="8" applyNumberFormat="1" applyFont="1" applyFill="1" applyBorder="1">
      <alignment horizontal="right" vertical="center"/>
    </xf>
    <xf numFmtId="4" fontId="37" fillId="25" borderId="0" xfId="8" applyNumberFormat="1" applyFont="1" applyFill="1" applyBorder="1">
      <alignment horizontal="right" vertical="center"/>
    </xf>
    <xf numFmtId="3" fontId="37" fillId="25" borderId="0" xfId="8" applyNumberFormat="1" applyFont="1" applyFill="1" applyBorder="1">
      <alignment horizontal="right" vertical="center"/>
    </xf>
    <xf numFmtId="0" fontId="22" fillId="26" borderId="0" xfId="9" quotePrefix="1" applyFont="1" applyFill="1" applyBorder="1" applyAlignment="1">
      <alignment horizontal="left" vertical="center" wrapText="1" indent="4"/>
    </xf>
    <xf numFmtId="0" fontId="22" fillId="26" borderId="0" xfId="9" quotePrefix="1" applyFont="1" applyFill="1" applyBorder="1">
      <alignment horizontal="left" vertical="center" wrapText="1"/>
    </xf>
    <xf numFmtId="4" fontId="25" fillId="26" borderId="0" xfId="8" applyNumberFormat="1" applyFont="1" applyFill="1" applyBorder="1">
      <alignment horizontal="right" vertical="center"/>
    </xf>
    <xf numFmtId="4" fontId="37" fillId="25" borderId="0" xfId="8" applyNumberFormat="1" applyFont="1" applyFill="1" applyBorder="1" applyAlignment="1">
      <alignment horizontal="right"/>
    </xf>
    <xf numFmtId="4" fontId="9" fillId="27" borderId="2" xfId="1" applyNumberFormat="1" applyFont="1" applyFill="1" applyBorder="1" applyAlignment="1">
      <alignment vertical="center" wrapText="1"/>
    </xf>
    <xf numFmtId="3" fontId="9" fillId="27" borderId="2" xfId="1" applyNumberFormat="1" applyFont="1" applyFill="1" applyBorder="1" applyAlignment="1">
      <alignment vertical="center" wrapText="1"/>
    </xf>
    <xf numFmtId="3" fontId="37" fillId="0" borderId="0" xfId="8" applyNumberFormat="1" applyFont="1" applyFill="1" applyBorder="1">
      <alignment horizontal="right" vertical="center"/>
    </xf>
    <xf numFmtId="4" fontId="27" fillId="0" borderId="0" xfId="8" applyNumberFormat="1" applyFont="1" applyFill="1" applyBorder="1">
      <alignment horizontal="right" vertical="center"/>
    </xf>
    <xf numFmtId="3" fontId="27" fillId="24" borderId="0" xfId="8" applyNumberFormat="1" applyFont="1" applyFill="1" applyBorder="1">
      <alignment horizontal="right" vertical="center"/>
    </xf>
    <xf numFmtId="0" fontId="27" fillId="0" borderId="0" xfId="0" applyFont="1" applyFill="1"/>
    <xf numFmtId="4" fontId="9" fillId="0" borderId="0" xfId="12" applyNumberFormat="1" applyFont="1" applyFill="1" applyBorder="1"/>
    <xf numFmtId="4" fontId="43" fillId="0" borderId="0" xfId="0" applyNumberFormat="1" applyFont="1" applyFill="1" applyBorder="1" applyAlignment="1" applyProtection="1">
      <alignment horizontal="right" vertical="top" shrinkToFit="1"/>
      <protection locked="0"/>
    </xf>
    <xf numFmtId="0" fontId="3" fillId="0" borderId="0" xfId="0" applyFont="1" applyAlignment="1">
      <alignment vertical="center"/>
    </xf>
    <xf numFmtId="4" fontId="42" fillId="0" borderId="0" xfId="0" applyNumberFormat="1" applyFont="1" applyFill="1" applyBorder="1" applyAlignment="1" applyProtection="1">
      <alignment horizontal="right" vertical="top" shrinkToFit="1"/>
      <protection locked="0"/>
    </xf>
    <xf numFmtId="4" fontId="27" fillId="0" borderId="0" xfId="12" applyNumberFormat="1" applyFont="1" applyFill="1" applyBorder="1"/>
    <xf numFmtId="4" fontId="25" fillId="0" borderId="0" xfId="8" applyNumberFormat="1" applyFont="1" applyFill="1" applyBorder="1">
      <alignment horizontal="right" vertical="center"/>
    </xf>
    <xf numFmtId="4" fontId="25" fillId="0" borderId="0" xfId="8" applyNumberFormat="1" applyFont="1" applyFill="1" applyBorder="1">
      <alignment horizontal="right" vertical="center"/>
    </xf>
    <xf numFmtId="0" fontId="25" fillId="0" borderId="0" xfId="8" applyNumberFormat="1" applyFont="1" applyFill="1" applyBorder="1">
      <alignment horizontal="right" vertical="center"/>
    </xf>
    <xf numFmtId="4" fontId="25" fillId="24" borderId="0" xfId="8" applyNumberFormat="1" applyFont="1" applyFill="1" applyBorder="1">
      <alignment horizontal="right" vertical="center"/>
    </xf>
    <xf numFmtId="4" fontId="22" fillId="0" borderId="0" xfId="12" applyNumberFormat="1" applyFont="1" applyFill="1" applyBorder="1"/>
    <xf numFmtId="4" fontId="25" fillId="0" borderId="0" xfId="8" applyNumberFormat="1" applyFont="1" applyFill="1" applyBorder="1">
      <alignment horizontal="right" vertical="center"/>
    </xf>
    <xf numFmtId="0" fontId="25" fillId="0" borderId="0" xfId="8" applyNumberFormat="1" applyFont="1" applyFill="1" applyBorder="1">
      <alignment horizontal="right" vertical="center"/>
    </xf>
    <xf numFmtId="4" fontId="25" fillId="24" borderId="0" xfId="8" applyNumberFormat="1" applyFont="1" applyFill="1" applyBorder="1">
      <alignment horizontal="right" vertical="center"/>
    </xf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3" fontId="26" fillId="24" borderId="0" xfId="8" applyNumberFormat="1" applyFont="1" applyFill="1" applyBorder="1">
      <alignment horizontal="right" vertical="center"/>
    </xf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4" fontId="13" fillId="4" borderId="2" xfId="64" quotePrefix="1" applyNumberFormat="1" applyFont="1" applyFill="1" applyBorder="1" applyAlignment="1">
      <alignment horizontal="center" vertical="center" wrapText="1"/>
    </xf>
    <xf numFmtId="3" fontId="13" fillId="4" borderId="2" xfId="64" quotePrefix="1" applyNumberFormat="1" applyFont="1" applyFill="1" applyBorder="1" applyAlignment="1">
      <alignment horizontal="center" vertical="center" wrapText="1"/>
    </xf>
    <xf numFmtId="0" fontId="25" fillId="0" borderId="0" xfId="65" applyFont="1" applyAlignment="1">
      <alignment vertical="center" wrapText="1"/>
    </xf>
    <xf numFmtId="0" fontId="26" fillId="25" borderId="2" xfId="65" applyFont="1" applyFill="1" applyBorder="1" applyAlignment="1">
      <alignment horizontal="center" vertical="center" wrapText="1"/>
    </xf>
    <xf numFmtId="0" fontId="26" fillId="2" borderId="5" xfId="65" applyFont="1" applyFill="1" applyBorder="1" applyAlignment="1">
      <alignment horizontal="left" vertical="center" wrapText="1"/>
    </xf>
    <xf numFmtId="4" fontId="26" fillId="2" borderId="5" xfId="65" applyNumberFormat="1" applyFont="1" applyFill="1" applyBorder="1" applyAlignment="1">
      <alignment horizontal="right" vertical="center" wrapText="1"/>
    </xf>
    <xf numFmtId="4" fontId="26" fillId="2" borderId="2" xfId="65" applyNumberFormat="1" applyFont="1" applyFill="1" applyBorder="1" applyAlignment="1">
      <alignment horizontal="right"/>
    </xf>
    <xf numFmtId="0" fontId="46" fillId="30" borderId="2" xfId="65" applyFont="1" applyFill="1" applyBorder="1" applyAlignment="1">
      <alignment horizontal="left" vertical="center" wrapText="1"/>
    </xf>
    <xf numFmtId="4" fontId="25" fillId="30" borderId="5" xfId="65" applyNumberFormat="1" applyFont="1" applyFill="1" applyBorder="1" applyAlignment="1">
      <alignment horizontal="right"/>
    </xf>
    <xf numFmtId="4" fontId="25" fillId="30" borderId="2" xfId="65" applyNumberFormat="1" applyFont="1" applyFill="1" applyBorder="1" applyAlignment="1">
      <alignment horizontal="right"/>
    </xf>
    <xf numFmtId="0" fontId="46" fillId="4" borderId="2" xfId="65" applyFont="1" applyFill="1" applyBorder="1" applyAlignment="1">
      <alignment horizontal="left" vertical="center" wrapText="1"/>
    </xf>
    <xf numFmtId="4" fontId="25" fillId="4" borderId="5" xfId="65" applyNumberFormat="1" applyFont="1" applyFill="1" applyBorder="1" applyAlignment="1">
      <alignment horizontal="right"/>
    </xf>
    <xf numFmtId="4" fontId="25" fillId="4" borderId="2" xfId="65" applyNumberFormat="1" applyFont="1" applyFill="1" applyBorder="1" applyAlignment="1">
      <alignment horizontal="right"/>
    </xf>
    <xf numFmtId="0" fontId="25" fillId="2" borderId="5" xfId="65" applyFont="1" applyFill="1" applyBorder="1" applyAlignment="1">
      <alignment horizontal="left" vertical="center" wrapText="1"/>
    </xf>
    <xf numFmtId="4" fontId="25" fillId="2" borderId="5" xfId="65" applyNumberFormat="1" applyFont="1" applyFill="1" applyBorder="1" applyAlignment="1">
      <alignment horizontal="right"/>
    </xf>
    <xf numFmtId="4" fontId="25" fillId="2" borderId="2" xfId="65" applyNumberFormat="1" applyFont="1" applyFill="1" applyBorder="1" applyAlignment="1">
      <alignment horizontal="right"/>
    </xf>
    <xf numFmtId="0" fontId="47" fillId="0" borderId="2" xfId="65" applyFont="1" applyBorder="1" applyAlignment="1">
      <alignment horizontal="left" vertical="center" wrapText="1"/>
    </xf>
    <xf numFmtId="0" fontId="25" fillId="2" borderId="3" xfId="65" applyFont="1" applyFill="1" applyBorder="1" applyAlignment="1">
      <alignment horizontal="left" vertical="center" wrapText="1"/>
    </xf>
    <xf numFmtId="0" fontId="25" fillId="2" borderId="4" xfId="65" applyFont="1" applyFill="1" applyBorder="1" applyAlignment="1">
      <alignment horizontal="left" vertical="center" wrapText="1"/>
    </xf>
    <xf numFmtId="0" fontId="47" fillId="0" borderId="5" xfId="65" applyFont="1" applyBorder="1" applyAlignment="1">
      <alignment horizontal="left" vertical="center" wrapText="1"/>
    </xf>
    <xf numFmtId="0" fontId="48" fillId="0" borderId="0" xfId="65" applyFont="1"/>
    <xf numFmtId="0" fontId="26" fillId="0" borderId="0" xfId="65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9" fillId="0" borderId="3" xfId="1" applyFont="1" applyBorder="1" applyAlignment="1">
      <alignment horizontal="left" vertical="center" wrapText="1"/>
    </xf>
    <xf numFmtId="0" fontId="17" fillId="0" borderId="4" xfId="1" applyFont="1" applyBorder="1" applyAlignment="1">
      <alignment vertical="center" wrapText="1"/>
    </xf>
    <xf numFmtId="0" fontId="13" fillId="3" borderId="3" xfId="1" quotePrefix="1" applyFont="1" applyFill="1" applyBorder="1" applyAlignment="1">
      <alignment horizontal="left" wrapText="1"/>
    </xf>
    <xf numFmtId="0" fontId="13" fillId="3" borderId="4" xfId="1" quotePrefix="1" applyFont="1" applyFill="1" applyBorder="1" applyAlignment="1">
      <alignment horizontal="left" wrapText="1"/>
    </xf>
    <xf numFmtId="0" fontId="13" fillId="3" borderId="5" xfId="1" quotePrefix="1" applyFont="1" applyFill="1" applyBorder="1" applyAlignment="1">
      <alignment horizontal="left" wrapText="1"/>
    </xf>
    <xf numFmtId="0" fontId="13" fillId="3" borderId="2" xfId="1" quotePrefix="1" applyFont="1" applyFill="1" applyBorder="1" applyAlignment="1">
      <alignment horizontal="left" vertical="center" wrapText="1"/>
    </xf>
    <xf numFmtId="0" fontId="9" fillId="0" borderId="4" xfId="1" applyFont="1" applyBorder="1" applyAlignment="1">
      <alignment vertical="center" wrapText="1"/>
    </xf>
    <xf numFmtId="0" fontId="9" fillId="0" borderId="4" xfId="1" applyFont="1" applyBorder="1" applyAlignment="1">
      <alignment vertical="center"/>
    </xf>
    <xf numFmtId="0" fontId="9" fillId="0" borderId="3" xfId="1" quotePrefix="1" applyFont="1" applyBorder="1" applyAlignment="1">
      <alignment horizontal="left" vertical="center"/>
    </xf>
    <xf numFmtId="0" fontId="9" fillId="3" borderId="3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vertical="center" wrapText="1"/>
    </xf>
    <xf numFmtId="0" fontId="9" fillId="3" borderId="4" xfId="1" applyFont="1" applyFill="1" applyBorder="1" applyAlignment="1">
      <alignment vertical="center"/>
    </xf>
    <xf numFmtId="0" fontId="9" fillId="0" borderId="3" xfId="1" quotePrefix="1" applyFont="1" applyBorder="1" applyAlignment="1">
      <alignment horizontal="left" vertical="center" wrapText="1"/>
    </xf>
    <xf numFmtId="0" fontId="9" fillId="3" borderId="3" xfId="1" quotePrefix="1" applyFont="1" applyFill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3" fillId="0" borderId="2" xfId="1" quotePrefix="1" applyFont="1" applyBorder="1" applyAlignment="1">
      <alignment horizontal="center" vertical="center" wrapText="1"/>
    </xf>
    <xf numFmtId="0" fontId="14" fillId="0" borderId="3" xfId="1" quotePrefix="1" applyFont="1" applyBorder="1" applyAlignment="1">
      <alignment horizontal="center" vertical="center" wrapText="1"/>
    </xf>
    <xf numFmtId="0" fontId="14" fillId="0" borderId="4" xfId="1" quotePrefix="1" applyFont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0" fontId="14" fillId="0" borderId="2" xfId="1" quotePrefix="1" applyFont="1" applyBorder="1" applyAlignment="1">
      <alignment horizontal="center" wrapText="1"/>
    </xf>
    <xf numFmtId="0" fontId="14" fillId="0" borderId="3" xfId="1" quotePrefix="1" applyFont="1" applyBorder="1" applyAlignment="1">
      <alignment horizontal="center" wrapText="1"/>
    </xf>
    <xf numFmtId="0" fontId="7" fillId="0" borderId="0" xfId="1" applyFont="1" applyAlignment="1">
      <alignment horizontal="center" vertical="center" wrapText="1"/>
    </xf>
    <xf numFmtId="3" fontId="20" fillId="4" borderId="4" xfId="12" applyNumberFormat="1" applyFont="1" applyFill="1" applyBorder="1" applyAlignment="1">
      <alignment horizontal="center" vertical="center" wrapText="1" justifyLastLine="1"/>
    </xf>
    <xf numFmtId="3" fontId="19" fillId="4" borderId="4" xfId="12" applyNumberFormat="1" applyFont="1" applyFill="1" applyBorder="1" applyAlignment="1">
      <alignment horizontal="center" vertical="center" wrapText="1" justifyLastLine="1"/>
    </xf>
    <xf numFmtId="0" fontId="7" fillId="0" borderId="0" xfId="14" applyFont="1" applyFill="1" applyAlignment="1">
      <alignment horizontal="center" vertical="center" wrapText="1"/>
    </xf>
    <xf numFmtId="0" fontId="25" fillId="2" borderId="2" xfId="65" applyFont="1" applyFill="1" applyBorder="1" applyAlignment="1">
      <alignment horizontal="left" vertical="center" wrapText="1"/>
    </xf>
    <xf numFmtId="0" fontId="26" fillId="0" borderId="0" xfId="65" applyFont="1" applyAlignment="1">
      <alignment horizontal="left" vertical="center" wrapText="1"/>
    </xf>
    <xf numFmtId="0" fontId="25" fillId="2" borderId="3" xfId="65" applyFont="1" applyFill="1" applyBorder="1" applyAlignment="1">
      <alignment horizontal="left" vertical="center" wrapText="1"/>
    </xf>
    <xf numFmtId="0" fontId="25" fillId="2" borderId="4" xfId="65" applyFont="1" applyFill="1" applyBorder="1" applyAlignment="1">
      <alignment horizontal="left" vertical="center" wrapText="1"/>
    </xf>
    <xf numFmtId="0" fontId="25" fillId="2" borderId="5" xfId="65" applyFont="1" applyFill="1" applyBorder="1" applyAlignment="1">
      <alignment horizontal="left" vertical="center" wrapText="1"/>
    </xf>
    <xf numFmtId="0" fontId="26" fillId="30" borderId="3" xfId="65" applyFont="1" applyFill="1" applyBorder="1" applyAlignment="1">
      <alignment horizontal="left" vertical="center" wrapText="1"/>
    </xf>
    <xf numFmtId="0" fontId="26" fillId="30" borderId="4" xfId="65" applyFont="1" applyFill="1" applyBorder="1" applyAlignment="1">
      <alignment horizontal="left" vertical="center" wrapText="1"/>
    </xf>
    <xf numFmtId="0" fontId="26" fillId="30" borderId="5" xfId="65" applyFont="1" applyFill="1" applyBorder="1" applyAlignment="1">
      <alignment horizontal="left" vertical="center" wrapText="1"/>
    </xf>
    <xf numFmtId="0" fontId="26" fillId="4" borderId="2" xfId="65" applyFont="1" applyFill="1" applyBorder="1" applyAlignment="1">
      <alignment horizontal="left" vertical="center" wrapText="1"/>
    </xf>
    <xf numFmtId="0" fontId="25" fillId="2" borderId="3" xfId="65" applyFont="1" applyFill="1" applyBorder="1" applyAlignment="1">
      <alignment horizontal="left" vertical="center"/>
    </xf>
    <xf numFmtId="0" fontId="25" fillId="2" borderId="4" xfId="65" applyFont="1" applyFill="1" applyBorder="1" applyAlignment="1">
      <alignment horizontal="left" vertical="center"/>
    </xf>
    <xf numFmtId="0" fontId="25" fillId="2" borderId="5" xfId="65" applyFont="1" applyFill="1" applyBorder="1" applyAlignment="1">
      <alignment horizontal="left" vertical="center"/>
    </xf>
    <xf numFmtId="0" fontId="26" fillId="0" borderId="0" xfId="65" applyFont="1" applyAlignment="1">
      <alignment horizontal="center" vertical="center" wrapText="1"/>
    </xf>
    <xf numFmtId="0" fontId="49" fillId="0" borderId="0" xfId="65" applyFont="1" applyAlignment="1">
      <alignment horizontal="center"/>
    </xf>
    <xf numFmtId="0" fontId="26" fillId="25" borderId="3" xfId="65" applyFont="1" applyFill="1" applyBorder="1" applyAlignment="1">
      <alignment horizontal="center" vertical="center" wrapText="1"/>
    </xf>
    <xf numFmtId="0" fontId="26" fillId="25" borderId="4" xfId="65" applyFont="1" applyFill="1" applyBorder="1" applyAlignment="1">
      <alignment horizontal="center" vertical="center" wrapText="1"/>
    </xf>
    <xf numFmtId="0" fontId="26" fillId="25" borderId="5" xfId="65" applyFont="1" applyFill="1" applyBorder="1" applyAlignment="1">
      <alignment horizontal="center" vertical="center" wrapText="1"/>
    </xf>
    <xf numFmtId="0" fontId="26" fillId="2" borderId="3" xfId="65" applyFont="1" applyFill="1" applyBorder="1" applyAlignment="1">
      <alignment horizontal="left" vertical="center" wrapText="1"/>
    </xf>
    <xf numFmtId="0" fontId="26" fillId="2" borderId="4" xfId="65" applyFont="1" applyFill="1" applyBorder="1" applyAlignment="1">
      <alignment horizontal="left" vertical="center" wrapText="1"/>
    </xf>
    <xf numFmtId="0" fontId="26" fillId="2" borderId="5" xfId="65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67">
    <cellStyle name="Hyperlink 2" xfId="53" xr:uid="{00000000-0005-0000-0000-000001000000}"/>
    <cellStyle name="Hyperlink 3" xfId="54" xr:uid="{00000000-0005-0000-0000-000002000000}"/>
    <cellStyle name="Normal" xfId="0" builtinId="0"/>
    <cellStyle name="Normal 2" xfId="12" xr:uid="{00000000-0005-0000-0000-000001000000}"/>
    <cellStyle name="Normal 2 2" xfId="46" xr:uid="{DA6ADEB9-C2F4-4C7C-A567-A34C419F9C3B}"/>
    <cellStyle name="Normal 2 2 2" xfId="55" xr:uid="{00000000-0005-0000-0000-000004000000}"/>
    <cellStyle name="Normal 2 3" xfId="60" xr:uid="{00000000-0005-0000-0000-000001000000}"/>
    <cellStyle name="Normal 3" xfId="56" xr:uid="{00000000-0005-0000-0000-000005000000}"/>
    <cellStyle name="Normal 4" xfId="65" xr:uid="{17458261-0E4F-4F09-81FF-6D8D26DF1CA8}"/>
    <cellStyle name="Normal 6" xfId="58" xr:uid="{35B0E166-A279-4B73-8D7F-B9B80B9CB119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45" xr:uid="{F3794953-92AE-4F6C-BD8F-DF967F87F27D}"/>
    <cellStyle name="Normalno 3 2 2 2" xfId="61" xr:uid="{00000000-0005-0000-0000-000004000000}"/>
    <cellStyle name="Normalno 3 2 3" xfId="48" xr:uid="{00000000-0005-0000-0000-000004000000}"/>
    <cellStyle name="Normalno 3 3" xfId="59" xr:uid="{00000000-0005-0000-0000-000003000000}"/>
    <cellStyle name="Normalno 3 4" xfId="47" xr:uid="{00000000-0005-0000-0000-000003000000}"/>
    <cellStyle name="Normalno 3 5" xfId="64" xr:uid="{368F002B-1D79-4043-AB88-2825912EDB76}"/>
    <cellStyle name="Normalno 4" xfId="51" xr:uid="{00000000-0005-0000-0000-000061000000}"/>
    <cellStyle name="Obično_GFI-POD ver. 1.0.5" xfId="57" xr:uid="{00000000-0005-0000-0000-000007000000}"/>
    <cellStyle name="SAPBEXaggData" xfId="3" xr:uid="{00000000-0005-0000-0000-000006000000}"/>
    <cellStyle name="SAPBEXaggDataEmph" xfId="15" xr:uid="{00000000-0005-0000-0000-000007000000}"/>
    <cellStyle name="SAPBEXaggItem" xfId="16" xr:uid="{00000000-0005-0000-0000-000008000000}"/>
    <cellStyle name="SAPBEXaggItemX" xfId="17" xr:uid="{00000000-0005-0000-0000-000009000000}"/>
    <cellStyle name="SAPBEXchaText" xfId="2" xr:uid="{00000000-0005-0000-0000-00000A000000}"/>
    <cellStyle name="SAPBEXexcBad7" xfId="18" xr:uid="{00000000-0005-0000-0000-00000B000000}"/>
    <cellStyle name="SAPBEXexcBad8" xfId="19" xr:uid="{00000000-0005-0000-0000-00000C000000}"/>
    <cellStyle name="SAPBEXexcBad9" xfId="20" xr:uid="{00000000-0005-0000-0000-00000D000000}"/>
    <cellStyle name="SAPBEXexcCritical4" xfId="21" xr:uid="{00000000-0005-0000-0000-00000E000000}"/>
    <cellStyle name="SAPBEXexcCritical5" xfId="22" xr:uid="{00000000-0005-0000-0000-00000F000000}"/>
    <cellStyle name="SAPBEXexcCritical6" xfId="23" xr:uid="{00000000-0005-0000-0000-000010000000}"/>
    <cellStyle name="SAPBEXexcGood1" xfId="24" xr:uid="{00000000-0005-0000-0000-000011000000}"/>
    <cellStyle name="SAPBEXexcGood2" xfId="25" xr:uid="{00000000-0005-0000-0000-000012000000}"/>
    <cellStyle name="SAPBEXexcGood3" xfId="26" xr:uid="{00000000-0005-0000-0000-000013000000}"/>
    <cellStyle name="SAPBEXfilterDrill" xfId="27" xr:uid="{00000000-0005-0000-0000-000014000000}"/>
    <cellStyle name="SAPBEXfilterItem" xfId="28" xr:uid="{00000000-0005-0000-0000-000015000000}"/>
    <cellStyle name="SAPBEXfilterText" xfId="29" xr:uid="{00000000-0005-0000-0000-000016000000}"/>
    <cellStyle name="SAPBEXformats" xfId="5" xr:uid="{00000000-0005-0000-0000-000017000000}"/>
    <cellStyle name="SAPBEXheaderItem" xfId="30" xr:uid="{00000000-0005-0000-0000-000018000000}"/>
    <cellStyle name="SAPBEXheaderText" xfId="31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2" xr:uid="{00000000-0005-0000-0000-00001D000000}"/>
    <cellStyle name="SAPBEXHLevel2" xfId="9" xr:uid="{00000000-0005-0000-0000-00001E000000}"/>
    <cellStyle name="SAPBEXHLevel2X" xfId="33" xr:uid="{00000000-0005-0000-0000-00001F000000}"/>
    <cellStyle name="SAPBEXHLevel3" xfId="10" xr:uid="{00000000-0005-0000-0000-000020000000}"/>
    <cellStyle name="SAPBEXHLevel3 2" xfId="50" xr:uid="{0C3E4A88-25E6-4C39-BD91-9D70D86516B5}"/>
    <cellStyle name="SAPBEXHLevel3X" xfId="34" xr:uid="{00000000-0005-0000-0000-000021000000}"/>
    <cellStyle name="SAPBEXinputData" xfId="35" xr:uid="{00000000-0005-0000-0000-000022000000}"/>
    <cellStyle name="SAPBEXinputData 2" xfId="36" xr:uid="{00000000-0005-0000-0000-000023000000}"/>
    <cellStyle name="SAPBEXinputData 3" xfId="62" xr:uid="{00000000-0005-0000-0000-000022000000}"/>
    <cellStyle name="SAPBEXinputData 4" xfId="49" xr:uid="{00000000-0005-0000-0000-000022000000}"/>
    <cellStyle name="SAPBEXresData" xfId="37" xr:uid="{00000000-0005-0000-0000-000024000000}"/>
    <cellStyle name="SAPBEXresDataEmph" xfId="38" xr:uid="{00000000-0005-0000-0000-000025000000}"/>
    <cellStyle name="SAPBEXresItem" xfId="11" xr:uid="{00000000-0005-0000-0000-000026000000}"/>
    <cellStyle name="SAPBEXresItemX" xfId="39" xr:uid="{00000000-0005-0000-0000-000027000000}"/>
    <cellStyle name="SAPBEXstdData" xfId="8" xr:uid="{00000000-0005-0000-0000-000028000000}"/>
    <cellStyle name="SAPBEXstdData 2" xfId="63" xr:uid="{B289A200-0F26-49A7-8790-CE0419D7686D}"/>
    <cellStyle name="SAPBEXstdDataEmph" xfId="40" xr:uid="{00000000-0005-0000-0000-000029000000}"/>
    <cellStyle name="SAPBEXstdItem" xfId="41" xr:uid="{00000000-0005-0000-0000-00002A000000}"/>
    <cellStyle name="SAPBEXstdItem 3" xfId="66" xr:uid="{41F64817-C805-4E00-A7EF-521F275BE23A}"/>
    <cellStyle name="SAPBEXstdItemX" xfId="42" xr:uid="{00000000-0005-0000-0000-00002B000000}"/>
    <cellStyle name="SAPBEXtitle" xfId="43" xr:uid="{00000000-0005-0000-0000-00002C000000}"/>
    <cellStyle name="SAPBEXundefined" xfId="44" xr:uid="{00000000-0005-0000-0000-00002D000000}"/>
    <cellStyle name="Zarez 2" xfId="52" xr:uid="{00000000-0005-0000-0000-00006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6"/>
  <sheetViews>
    <sheetView tabSelected="1" zoomScale="90" zoomScaleNormal="90" workbookViewId="0">
      <selection activeCell="G28" sqref="G28"/>
    </sheetView>
  </sheetViews>
  <sheetFormatPr defaultRowHeight="15" x14ac:dyDescent="0.25"/>
  <cols>
    <col min="1" max="3" width="9.140625" style="1"/>
    <col min="4" max="4" width="9" style="1" customWidth="1"/>
    <col min="5" max="5" width="10.140625" style="1" customWidth="1"/>
    <col min="6" max="6" width="23.5703125" style="29" customWidth="1"/>
    <col min="7" max="8" width="23.5703125" style="30" customWidth="1"/>
    <col min="9" max="9" width="21.5703125" style="29" customWidth="1"/>
    <col min="10" max="10" width="12.42578125" style="29" customWidth="1"/>
    <col min="11" max="11" width="15.5703125" style="29" bestFit="1" customWidth="1"/>
    <col min="12" max="13" width="9.140625" style="1"/>
    <col min="14" max="14" width="12.28515625" style="1" bestFit="1" customWidth="1"/>
    <col min="15" max="241" width="9.140625" style="1"/>
    <col min="242" max="242" width="17.42578125" style="1" customWidth="1"/>
    <col min="243" max="246" width="25.140625" style="1" customWidth="1"/>
    <col min="247" max="248" width="12.28515625" style="1" customWidth="1"/>
    <col min="249" max="497" width="9.140625" style="1"/>
    <col min="498" max="498" width="17.42578125" style="1" customWidth="1"/>
    <col min="499" max="502" width="25.140625" style="1" customWidth="1"/>
    <col min="503" max="504" width="12.28515625" style="1" customWidth="1"/>
    <col min="505" max="753" width="9.140625" style="1"/>
    <col min="754" max="754" width="17.42578125" style="1" customWidth="1"/>
    <col min="755" max="758" width="25.140625" style="1" customWidth="1"/>
    <col min="759" max="760" width="12.28515625" style="1" customWidth="1"/>
    <col min="761" max="1009" width="9.140625" style="1"/>
    <col min="1010" max="1010" width="17.42578125" style="1" customWidth="1"/>
    <col min="1011" max="1014" width="25.140625" style="1" customWidth="1"/>
    <col min="1015" max="1016" width="12.28515625" style="1" customWidth="1"/>
    <col min="1017" max="1265" width="9.140625" style="1"/>
    <col min="1266" max="1266" width="17.42578125" style="1" customWidth="1"/>
    <col min="1267" max="1270" width="25.140625" style="1" customWidth="1"/>
    <col min="1271" max="1272" width="12.28515625" style="1" customWidth="1"/>
    <col min="1273" max="1521" width="9.140625" style="1"/>
    <col min="1522" max="1522" width="17.42578125" style="1" customWidth="1"/>
    <col min="1523" max="1526" width="25.140625" style="1" customWidth="1"/>
    <col min="1527" max="1528" width="12.28515625" style="1" customWidth="1"/>
    <col min="1529" max="1777" width="9.140625" style="1"/>
    <col min="1778" max="1778" width="17.42578125" style="1" customWidth="1"/>
    <col min="1779" max="1782" width="25.140625" style="1" customWidth="1"/>
    <col min="1783" max="1784" width="12.28515625" style="1" customWidth="1"/>
    <col min="1785" max="2033" width="9.140625" style="1"/>
    <col min="2034" max="2034" width="17.42578125" style="1" customWidth="1"/>
    <col min="2035" max="2038" width="25.140625" style="1" customWidth="1"/>
    <col min="2039" max="2040" width="12.28515625" style="1" customWidth="1"/>
    <col min="2041" max="2289" width="9.140625" style="1"/>
    <col min="2290" max="2290" width="17.42578125" style="1" customWidth="1"/>
    <col min="2291" max="2294" width="25.140625" style="1" customWidth="1"/>
    <col min="2295" max="2296" width="12.28515625" style="1" customWidth="1"/>
    <col min="2297" max="2545" width="9.140625" style="1"/>
    <col min="2546" max="2546" width="17.42578125" style="1" customWidth="1"/>
    <col min="2547" max="2550" width="25.140625" style="1" customWidth="1"/>
    <col min="2551" max="2552" width="12.28515625" style="1" customWidth="1"/>
    <col min="2553" max="2801" width="9.140625" style="1"/>
    <col min="2802" max="2802" width="17.42578125" style="1" customWidth="1"/>
    <col min="2803" max="2806" width="25.140625" style="1" customWidth="1"/>
    <col min="2807" max="2808" width="12.28515625" style="1" customWidth="1"/>
    <col min="2809" max="3057" width="9.140625" style="1"/>
    <col min="3058" max="3058" width="17.42578125" style="1" customWidth="1"/>
    <col min="3059" max="3062" width="25.140625" style="1" customWidth="1"/>
    <col min="3063" max="3064" width="12.28515625" style="1" customWidth="1"/>
    <col min="3065" max="3313" width="9.140625" style="1"/>
    <col min="3314" max="3314" width="17.42578125" style="1" customWidth="1"/>
    <col min="3315" max="3318" width="25.140625" style="1" customWidth="1"/>
    <col min="3319" max="3320" width="12.28515625" style="1" customWidth="1"/>
    <col min="3321" max="3569" width="9.140625" style="1"/>
    <col min="3570" max="3570" width="17.42578125" style="1" customWidth="1"/>
    <col min="3571" max="3574" width="25.140625" style="1" customWidth="1"/>
    <col min="3575" max="3576" width="12.28515625" style="1" customWidth="1"/>
    <col min="3577" max="3825" width="9.140625" style="1"/>
    <col min="3826" max="3826" width="17.42578125" style="1" customWidth="1"/>
    <col min="3827" max="3830" width="25.140625" style="1" customWidth="1"/>
    <col min="3831" max="3832" width="12.28515625" style="1" customWidth="1"/>
    <col min="3833" max="4081" width="9.140625" style="1"/>
    <col min="4082" max="4082" width="17.42578125" style="1" customWidth="1"/>
    <col min="4083" max="4086" width="25.140625" style="1" customWidth="1"/>
    <col min="4087" max="4088" width="12.28515625" style="1" customWidth="1"/>
    <col min="4089" max="4337" width="9.140625" style="1"/>
    <col min="4338" max="4338" width="17.42578125" style="1" customWidth="1"/>
    <col min="4339" max="4342" width="25.140625" style="1" customWidth="1"/>
    <col min="4343" max="4344" width="12.28515625" style="1" customWidth="1"/>
    <col min="4345" max="4593" width="9.140625" style="1"/>
    <col min="4594" max="4594" width="17.42578125" style="1" customWidth="1"/>
    <col min="4595" max="4598" width="25.140625" style="1" customWidth="1"/>
    <col min="4599" max="4600" width="12.28515625" style="1" customWidth="1"/>
    <col min="4601" max="4849" width="9.140625" style="1"/>
    <col min="4850" max="4850" width="17.42578125" style="1" customWidth="1"/>
    <col min="4851" max="4854" width="25.140625" style="1" customWidth="1"/>
    <col min="4855" max="4856" width="12.28515625" style="1" customWidth="1"/>
    <col min="4857" max="5105" width="9.140625" style="1"/>
    <col min="5106" max="5106" width="17.42578125" style="1" customWidth="1"/>
    <col min="5107" max="5110" width="25.140625" style="1" customWidth="1"/>
    <col min="5111" max="5112" width="12.28515625" style="1" customWidth="1"/>
    <col min="5113" max="5361" width="9.140625" style="1"/>
    <col min="5362" max="5362" width="17.42578125" style="1" customWidth="1"/>
    <col min="5363" max="5366" width="25.140625" style="1" customWidth="1"/>
    <col min="5367" max="5368" width="12.28515625" style="1" customWidth="1"/>
    <col min="5369" max="5617" width="9.140625" style="1"/>
    <col min="5618" max="5618" width="17.42578125" style="1" customWidth="1"/>
    <col min="5619" max="5622" width="25.140625" style="1" customWidth="1"/>
    <col min="5623" max="5624" width="12.28515625" style="1" customWidth="1"/>
    <col min="5625" max="5873" width="9.140625" style="1"/>
    <col min="5874" max="5874" width="17.42578125" style="1" customWidth="1"/>
    <col min="5875" max="5878" width="25.140625" style="1" customWidth="1"/>
    <col min="5879" max="5880" width="12.28515625" style="1" customWidth="1"/>
    <col min="5881" max="6129" width="9.140625" style="1"/>
    <col min="6130" max="6130" width="17.42578125" style="1" customWidth="1"/>
    <col min="6131" max="6134" width="25.140625" style="1" customWidth="1"/>
    <col min="6135" max="6136" width="12.28515625" style="1" customWidth="1"/>
    <col min="6137" max="6385" width="9.140625" style="1"/>
    <col min="6386" max="6386" width="17.42578125" style="1" customWidth="1"/>
    <col min="6387" max="6390" width="25.140625" style="1" customWidth="1"/>
    <col min="6391" max="6392" width="12.28515625" style="1" customWidth="1"/>
    <col min="6393" max="6641" width="9.140625" style="1"/>
    <col min="6642" max="6642" width="17.42578125" style="1" customWidth="1"/>
    <col min="6643" max="6646" width="25.140625" style="1" customWidth="1"/>
    <col min="6647" max="6648" width="12.28515625" style="1" customWidth="1"/>
    <col min="6649" max="6897" width="9.140625" style="1"/>
    <col min="6898" max="6898" width="17.42578125" style="1" customWidth="1"/>
    <col min="6899" max="6902" width="25.140625" style="1" customWidth="1"/>
    <col min="6903" max="6904" width="12.28515625" style="1" customWidth="1"/>
    <col min="6905" max="7153" width="9.140625" style="1"/>
    <col min="7154" max="7154" width="17.42578125" style="1" customWidth="1"/>
    <col min="7155" max="7158" width="25.140625" style="1" customWidth="1"/>
    <col min="7159" max="7160" width="12.28515625" style="1" customWidth="1"/>
    <col min="7161" max="7409" width="9.140625" style="1"/>
    <col min="7410" max="7410" width="17.42578125" style="1" customWidth="1"/>
    <col min="7411" max="7414" width="25.140625" style="1" customWidth="1"/>
    <col min="7415" max="7416" width="12.28515625" style="1" customWidth="1"/>
    <col min="7417" max="7665" width="9.140625" style="1"/>
    <col min="7666" max="7666" width="17.42578125" style="1" customWidth="1"/>
    <col min="7667" max="7670" width="25.140625" style="1" customWidth="1"/>
    <col min="7671" max="7672" width="12.28515625" style="1" customWidth="1"/>
    <col min="7673" max="7921" width="9.140625" style="1"/>
    <col min="7922" max="7922" width="17.42578125" style="1" customWidth="1"/>
    <col min="7923" max="7926" width="25.140625" style="1" customWidth="1"/>
    <col min="7927" max="7928" width="12.28515625" style="1" customWidth="1"/>
    <col min="7929" max="8177" width="9.140625" style="1"/>
    <col min="8178" max="8178" width="17.42578125" style="1" customWidth="1"/>
    <col min="8179" max="8182" width="25.140625" style="1" customWidth="1"/>
    <col min="8183" max="8184" width="12.28515625" style="1" customWidth="1"/>
    <col min="8185" max="8433" width="9.140625" style="1"/>
    <col min="8434" max="8434" width="17.42578125" style="1" customWidth="1"/>
    <col min="8435" max="8438" width="25.140625" style="1" customWidth="1"/>
    <col min="8439" max="8440" width="12.28515625" style="1" customWidth="1"/>
    <col min="8441" max="8689" width="9.140625" style="1"/>
    <col min="8690" max="8690" width="17.42578125" style="1" customWidth="1"/>
    <col min="8691" max="8694" width="25.140625" style="1" customWidth="1"/>
    <col min="8695" max="8696" width="12.28515625" style="1" customWidth="1"/>
    <col min="8697" max="8945" width="9.140625" style="1"/>
    <col min="8946" max="8946" width="17.42578125" style="1" customWidth="1"/>
    <col min="8947" max="8950" width="25.140625" style="1" customWidth="1"/>
    <col min="8951" max="8952" width="12.28515625" style="1" customWidth="1"/>
    <col min="8953" max="9201" width="9.140625" style="1"/>
    <col min="9202" max="9202" width="17.42578125" style="1" customWidth="1"/>
    <col min="9203" max="9206" width="25.140625" style="1" customWidth="1"/>
    <col min="9207" max="9208" width="12.28515625" style="1" customWidth="1"/>
    <col min="9209" max="9457" width="9.140625" style="1"/>
    <col min="9458" max="9458" width="17.42578125" style="1" customWidth="1"/>
    <col min="9459" max="9462" width="25.140625" style="1" customWidth="1"/>
    <col min="9463" max="9464" width="12.28515625" style="1" customWidth="1"/>
    <col min="9465" max="9713" width="9.140625" style="1"/>
    <col min="9714" max="9714" width="17.42578125" style="1" customWidth="1"/>
    <col min="9715" max="9718" width="25.140625" style="1" customWidth="1"/>
    <col min="9719" max="9720" width="12.28515625" style="1" customWidth="1"/>
    <col min="9721" max="9969" width="9.140625" style="1"/>
    <col min="9970" max="9970" width="17.42578125" style="1" customWidth="1"/>
    <col min="9971" max="9974" width="25.140625" style="1" customWidth="1"/>
    <col min="9975" max="9976" width="12.28515625" style="1" customWidth="1"/>
    <col min="9977" max="10225" width="9.140625" style="1"/>
    <col min="10226" max="10226" width="17.42578125" style="1" customWidth="1"/>
    <col min="10227" max="10230" width="25.140625" style="1" customWidth="1"/>
    <col min="10231" max="10232" width="12.28515625" style="1" customWidth="1"/>
    <col min="10233" max="10481" width="9.140625" style="1"/>
    <col min="10482" max="10482" width="17.42578125" style="1" customWidth="1"/>
    <col min="10483" max="10486" width="25.140625" style="1" customWidth="1"/>
    <col min="10487" max="10488" width="12.28515625" style="1" customWidth="1"/>
    <col min="10489" max="10737" width="9.140625" style="1"/>
    <col min="10738" max="10738" width="17.42578125" style="1" customWidth="1"/>
    <col min="10739" max="10742" width="25.140625" style="1" customWidth="1"/>
    <col min="10743" max="10744" width="12.28515625" style="1" customWidth="1"/>
    <col min="10745" max="10993" width="9.140625" style="1"/>
    <col min="10994" max="10994" width="17.42578125" style="1" customWidth="1"/>
    <col min="10995" max="10998" width="25.140625" style="1" customWidth="1"/>
    <col min="10999" max="11000" width="12.28515625" style="1" customWidth="1"/>
    <col min="11001" max="11249" width="9.140625" style="1"/>
    <col min="11250" max="11250" width="17.42578125" style="1" customWidth="1"/>
    <col min="11251" max="11254" width="25.140625" style="1" customWidth="1"/>
    <col min="11255" max="11256" width="12.28515625" style="1" customWidth="1"/>
    <col min="11257" max="11505" width="9.140625" style="1"/>
    <col min="11506" max="11506" width="17.42578125" style="1" customWidth="1"/>
    <col min="11507" max="11510" width="25.140625" style="1" customWidth="1"/>
    <col min="11511" max="11512" width="12.28515625" style="1" customWidth="1"/>
    <col min="11513" max="11761" width="9.140625" style="1"/>
    <col min="11762" max="11762" width="17.42578125" style="1" customWidth="1"/>
    <col min="11763" max="11766" width="25.140625" style="1" customWidth="1"/>
    <col min="11767" max="11768" width="12.28515625" style="1" customWidth="1"/>
    <col min="11769" max="12017" width="9.140625" style="1"/>
    <col min="12018" max="12018" width="17.42578125" style="1" customWidth="1"/>
    <col min="12019" max="12022" width="25.140625" style="1" customWidth="1"/>
    <col min="12023" max="12024" width="12.28515625" style="1" customWidth="1"/>
    <col min="12025" max="12273" width="9.140625" style="1"/>
    <col min="12274" max="12274" width="17.42578125" style="1" customWidth="1"/>
    <col min="12275" max="12278" width="25.140625" style="1" customWidth="1"/>
    <col min="12279" max="12280" width="12.28515625" style="1" customWidth="1"/>
    <col min="12281" max="12529" width="9.140625" style="1"/>
    <col min="12530" max="12530" width="17.42578125" style="1" customWidth="1"/>
    <col min="12531" max="12534" width="25.140625" style="1" customWidth="1"/>
    <col min="12535" max="12536" width="12.28515625" style="1" customWidth="1"/>
    <col min="12537" max="12785" width="9.140625" style="1"/>
    <col min="12786" max="12786" width="17.42578125" style="1" customWidth="1"/>
    <col min="12787" max="12790" width="25.140625" style="1" customWidth="1"/>
    <col min="12791" max="12792" width="12.28515625" style="1" customWidth="1"/>
    <col min="12793" max="13041" width="9.140625" style="1"/>
    <col min="13042" max="13042" width="17.42578125" style="1" customWidth="1"/>
    <col min="13043" max="13046" width="25.140625" style="1" customWidth="1"/>
    <col min="13047" max="13048" width="12.28515625" style="1" customWidth="1"/>
    <col min="13049" max="13297" width="9.140625" style="1"/>
    <col min="13298" max="13298" width="17.42578125" style="1" customWidth="1"/>
    <col min="13299" max="13302" width="25.140625" style="1" customWidth="1"/>
    <col min="13303" max="13304" width="12.28515625" style="1" customWidth="1"/>
    <col min="13305" max="13553" width="9.140625" style="1"/>
    <col min="13554" max="13554" width="17.42578125" style="1" customWidth="1"/>
    <col min="13555" max="13558" width="25.140625" style="1" customWidth="1"/>
    <col min="13559" max="13560" width="12.28515625" style="1" customWidth="1"/>
    <col min="13561" max="13809" width="9.140625" style="1"/>
    <col min="13810" max="13810" width="17.42578125" style="1" customWidth="1"/>
    <col min="13811" max="13814" width="25.140625" style="1" customWidth="1"/>
    <col min="13815" max="13816" width="12.28515625" style="1" customWidth="1"/>
    <col min="13817" max="14065" width="9.140625" style="1"/>
    <col min="14066" max="14066" width="17.42578125" style="1" customWidth="1"/>
    <col min="14067" max="14070" width="25.140625" style="1" customWidth="1"/>
    <col min="14071" max="14072" width="12.28515625" style="1" customWidth="1"/>
    <col min="14073" max="14321" width="9.140625" style="1"/>
    <col min="14322" max="14322" width="17.42578125" style="1" customWidth="1"/>
    <col min="14323" max="14326" width="25.140625" style="1" customWidth="1"/>
    <col min="14327" max="14328" width="12.28515625" style="1" customWidth="1"/>
    <col min="14329" max="14577" width="9.140625" style="1"/>
    <col min="14578" max="14578" width="17.42578125" style="1" customWidth="1"/>
    <col min="14579" max="14582" width="25.140625" style="1" customWidth="1"/>
    <col min="14583" max="14584" width="12.28515625" style="1" customWidth="1"/>
    <col min="14585" max="14833" width="9.140625" style="1"/>
    <col min="14834" max="14834" width="17.42578125" style="1" customWidth="1"/>
    <col min="14835" max="14838" width="25.140625" style="1" customWidth="1"/>
    <col min="14839" max="14840" width="12.28515625" style="1" customWidth="1"/>
    <col min="14841" max="15089" width="9.140625" style="1"/>
    <col min="15090" max="15090" width="17.42578125" style="1" customWidth="1"/>
    <col min="15091" max="15094" width="25.140625" style="1" customWidth="1"/>
    <col min="15095" max="15096" width="12.28515625" style="1" customWidth="1"/>
    <col min="15097" max="15345" width="9.140625" style="1"/>
    <col min="15346" max="15346" width="17.42578125" style="1" customWidth="1"/>
    <col min="15347" max="15350" width="25.140625" style="1" customWidth="1"/>
    <col min="15351" max="15352" width="12.28515625" style="1" customWidth="1"/>
    <col min="15353" max="15601" width="9.140625" style="1"/>
    <col min="15602" max="15602" width="17.42578125" style="1" customWidth="1"/>
    <col min="15603" max="15606" width="25.140625" style="1" customWidth="1"/>
    <col min="15607" max="15608" width="12.28515625" style="1" customWidth="1"/>
    <col min="15609" max="15857" width="9.140625" style="1"/>
    <col min="15858" max="15858" width="17.42578125" style="1" customWidth="1"/>
    <col min="15859" max="15862" width="25.140625" style="1" customWidth="1"/>
    <col min="15863" max="15864" width="12.28515625" style="1" customWidth="1"/>
    <col min="15865" max="16113" width="9.140625" style="1"/>
    <col min="16114" max="16114" width="17.42578125" style="1" customWidth="1"/>
    <col min="16115" max="16118" width="25.140625" style="1" customWidth="1"/>
    <col min="16119" max="16120" width="12.28515625" style="1" customWidth="1"/>
    <col min="16121" max="16384" width="9.140625" style="1"/>
  </cols>
  <sheetData>
    <row r="1" spans="1:11" ht="27.75" customHeight="1" x14ac:dyDescent="0.25">
      <c r="A1" s="268" t="s">
        <v>596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20.25" customHeight="1" x14ac:dyDescent="0.25">
      <c r="A2" s="207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68" t="s">
        <v>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</row>
    <row r="4" spans="1:11" ht="18" x14ac:dyDescent="0.25">
      <c r="A4" s="207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68" t="s">
        <v>1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61" t="s">
        <v>2</v>
      </c>
      <c r="B7" s="261"/>
      <c r="C7" s="261"/>
      <c r="D7" s="261"/>
      <c r="E7" s="261"/>
      <c r="F7" s="8"/>
      <c r="G7" s="9"/>
      <c r="H7" s="9"/>
      <c r="I7" s="10"/>
      <c r="J7" s="11"/>
      <c r="K7" s="11"/>
    </row>
    <row r="8" spans="1:11" ht="38.25" x14ac:dyDescent="0.25">
      <c r="A8" s="262" t="s">
        <v>3</v>
      </c>
      <c r="B8" s="262"/>
      <c r="C8" s="262"/>
      <c r="D8" s="262"/>
      <c r="E8" s="262"/>
      <c r="F8" s="12" t="s">
        <v>556</v>
      </c>
      <c r="G8" s="13" t="s">
        <v>557</v>
      </c>
      <c r="H8" s="13" t="s">
        <v>593</v>
      </c>
      <c r="I8" s="12" t="s">
        <v>558</v>
      </c>
      <c r="J8" s="12" t="s">
        <v>4</v>
      </c>
      <c r="K8" s="12" t="s">
        <v>5</v>
      </c>
    </row>
    <row r="9" spans="1:11" x14ac:dyDescent="0.25">
      <c r="A9" s="266">
        <v>1</v>
      </c>
      <c r="B9" s="266"/>
      <c r="C9" s="266"/>
      <c r="D9" s="266"/>
      <c r="E9" s="267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247" t="s">
        <v>8</v>
      </c>
      <c r="B10" s="253"/>
      <c r="C10" s="253"/>
      <c r="D10" s="253"/>
      <c r="E10" s="254"/>
      <c r="F10" s="16">
        <f>+'A.1 PRIHODI EK'!C11</f>
        <v>5376817.9500000002</v>
      </c>
      <c r="G10" s="17">
        <f>+'A.1 PRIHODI EK'!D10</f>
        <v>12208893</v>
      </c>
      <c r="H10" s="17">
        <f>+'A.1 PRIHODI EK'!E10</f>
        <v>12208893</v>
      </c>
      <c r="I10" s="16">
        <f>+'A.1 PRIHODI EK'!F11</f>
        <v>5930106.3099999996</v>
      </c>
      <c r="J10" s="18">
        <f t="shared" ref="J10:J15" si="0">+I10/F10*100</f>
        <v>110.29025652616711</v>
      </c>
      <c r="K10" s="18">
        <f t="shared" ref="K10:K15" si="1">+I10/H10*100</f>
        <v>48.572022950811345</v>
      </c>
    </row>
    <row r="11" spans="1:11" x14ac:dyDescent="0.25">
      <c r="A11" s="255" t="s">
        <v>9</v>
      </c>
      <c r="B11" s="254"/>
      <c r="C11" s="254"/>
      <c r="D11" s="254"/>
      <c r="E11" s="254"/>
      <c r="F11" s="16">
        <f>+'A.1 PRIHODI EK'!C72</f>
        <v>0</v>
      </c>
      <c r="G11" s="17">
        <f>+'A.1 PRIHODI EK'!D72</f>
        <v>0</v>
      </c>
      <c r="H11" s="17">
        <f>+'A.1 PRIHODI EK'!E72</f>
        <v>0</v>
      </c>
      <c r="I11" s="16">
        <f>+'A.1 PRIHODI EK'!F72</f>
        <v>0</v>
      </c>
      <c r="J11" s="18"/>
      <c r="K11" s="18"/>
    </row>
    <row r="12" spans="1:11" x14ac:dyDescent="0.25">
      <c r="A12" s="256" t="s">
        <v>10</v>
      </c>
      <c r="B12" s="257"/>
      <c r="C12" s="257"/>
      <c r="D12" s="257"/>
      <c r="E12" s="258"/>
      <c r="F12" s="19">
        <f>F10+F11</f>
        <v>5376817.9500000002</v>
      </c>
      <c r="G12" s="20">
        <f>G10+G11</f>
        <v>12208893</v>
      </c>
      <c r="H12" s="20">
        <f>H10+H11</f>
        <v>12208893</v>
      </c>
      <c r="I12" s="19">
        <f>I10+I11</f>
        <v>5930106.3099999996</v>
      </c>
      <c r="J12" s="19">
        <f t="shared" si="0"/>
        <v>110.29025652616711</v>
      </c>
      <c r="K12" s="19">
        <f t="shared" si="1"/>
        <v>48.572022950811345</v>
      </c>
    </row>
    <row r="13" spans="1:11" x14ac:dyDescent="0.25">
      <c r="A13" s="259" t="s">
        <v>11</v>
      </c>
      <c r="B13" s="253"/>
      <c r="C13" s="253"/>
      <c r="D13" s="253"/>
      <c r="E13" s="253"/>
      <c r="F13" s="16">
        <f>+'A.1 RASHODI EK'!C10</f>
        <v>5597598.7800000003</v>
      </c>
      <c r="G13" s="17">
        <f>+'A.1 RASHODI EK'!D10</f>
        <v>11673934</v>
      </c>
      <c r="H13" s="17">
        <f>+'A.1 RASHODI EK'!E10</f>
        <v>11673934</v>
      </c>
      <c r="I13" s="16">
        <f>+'A.1 RASHODI EK'!F10</f>
        <v>5792584.080000001</v>
      </c>
      <c r="J13" s="18">
        <f t="shared" si="0"/>
        <v>103.48337399058818</v>
      </c>
      <c r="K13" s="18"/>
    </row>
    <row r="14" spans="1:11" x14ac:dyDescent="0.25">
      <c r="A14" s="255" t="s">
        <v>12</v>
      </c>
      <c r="B14" s="254"/>
      <c r="C14" s="254"/>
      <c r="D14" s="254"/>
      <c r="E14" s="254"/>
      <c r="F14" s="16">
        <f>+'A.1 RASHODI EK'!C113</f>
        <v>18058.670000000002</v>
      </c>
      <c r="G14" s="17">
        <f>+'A.1 RASHODI EK'!D113</f>
        <v>174055</v>
      </c>
      <c r="H14" s="17">
        <f>+'A.1 RASHODI EK'!E113</f>
        <v>174055</v>
      </c>
      <c r="I14" s="16">
        <f>+'A.1 RASHODI EK'!F113</f>
        <v>119716.51</v>
      </c>
      <c r="J14" s="18">
        <f t="shared" si="0"/>
        <v>662.93093566691232</v>
      </c>
      <c r="K14" s="18"/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5615657.4500000002</v>
      </c>
      <c r="G15" s="20">
        <f>G13+G14</f>
        <v>11847989</v>
      </c>
      <c r="H15" s="20">
        <f>H13+H14</f>
        <v>11847989</v>
      </c>
      <c r="I15" s="19">
        <f>I13+I14</f>
        <v>5912300.5900000008</v>
      </c>
      <c r="J15" s="19">
        <f t="shared" si="0"/>
        <v>105.28242939746977</v>
      </c>
      <c r="K15" s="19">
        <f t="shared" si="1"/>
        <v>49.901300465420761</v>
      </c>
    </row>
    <row r="16" spans="1:11" x14ac:dyDescent="0.25">
      <c r="A16" s="260" t="s">
        <v>14</v>
      </c>
      <c r="B16" s="257"/>
      <c r="C16" s="257"/>
      <c r="D16" s="257"/>
      <c r="E16" s="257"/>
      <c r="F16" s="23">
        <f>F12-F15</f>
        <v>-238839.5</v>
      </c>
      <c r="G16" s="24">
        <f>G12-G15</f>
        <v>360904</v>
      </c>
      <c r="H16" s="24">
        <f>H12-H15</f>
        <v>360904</v>
      </c>
      <c r="I16" s="23">
        <f>I12-I15</f>
        <v>17805.719999998808</v>
      </c>
      <c r="J16" s="19"/>
      <c r="K16" s="19"/>
    </row>
    <row r="17" spans="1:15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5" ht="18" x14ac:dyDescent="0.25">
      <c r="A18" s="261" t="s">
        <v>15</v>
      </c>
      <c r="B18" s="261"/>
      <c r="C18" s="261"/>
      <c r="D18" s="261"/>
      <c r="E18" s="261"/>
      <c r="F18" s="26"/>
      <c r="G18" s="27"/>
      <c r="H18" s="27"/>
      <c r="I18" s="26"/>
      <c r="J18" s="28"/>
      <c r="K18" s="28"/>
    </row>
    <row r="19" spans="1:15" ht="38.25" x14ac:dyDescent="0.25">
      <c r="A19" s="262" t="s">
        <v>3</v>
      </c>
      <c r="B19" s="262"/>
      <c r="C19" s="262"/>
      <c r="D19" s="262"/>
      <c r="E19" s="262"/>
      <c r="F19" s="12" t="s">
        <v>556</v>
      </c>
      <c r="G19" s="13" t="s">
        <v>557</v>
      </c>
      <c r="H19" s="13" t="s">
        <v>593</v>
      </c>
      <c r="I19" s="12" t="s">
        <v>558</v>
      </c>
      <c r="J19" s="12" t="s">
        <v>4</v>
      </c>
      <c r="K19" s="12" t="s">
        <v>5</v>
      </c>
    </row>
    <row r="20" spans="1:15" x14ac:dyDescent="0.25">
      <c r="A20" s="263">
        <v>1</v>
      </c>
      <c r="B20" s="264"/>
      <c r="C20" s="264"/>
      <c r="D20" s="264"/>
      <c r="E20" s="264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5" x14ac:dyDescent="0.25">
      <c r="A21" s="247" t="s">
        <v>16</v>
      </c>
      <c r="B21" s="265"/>
      <c r="C21" s="265"/>
      <c r="D21" s="265"/>
      <c r="E21" s="265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/>
      <c r="K21" s="18"/>
    </row>
    <row r="22" spans="1:15" ht="27" customHeight="1" x14ac:dyDescent="0.25">
      <c r="A22" s="247" t="s">
        <v>17</v>
      </c>
      <c r="B22" s="248"/>
      <c r="C22" s="248"/>
      <c r="D22" s="248"/>
      <c r="E22" s="248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/>
      <c r="K22" s="18"/>
      <c r="N22" s="30"/>
    </row>
    <row r="23" spans="1:15" x14ac:dyDescent="0.25">
      <c r="A23" s="249" t="s">
        <v>18</v>
      </c>
      <c r="B23" s="250"/>
      <c r="C23" s="250"/>
      <c r="D23" s="250"/>
      <c r="E23" s="251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19"/>
      <c r="K23" s="19"/>
      <c r="N23" s="30"/>
    </row>
    <row r="24" spans="1:15" x14ac:dyDescent="0.25">
      <c r="A24" s="247" t="s">
        <v>19</v>
      </c>
      <c r="B24" s="248"/>
      <c r="C24" s="248"/>
      <c r="D24" s="248"/>
      <c r="E24" s="248"/>
      <c r="F24" s="199">
        <v>721823</v>
      </c>
      <c r="G24" s="200">
        <v>886357</v>
      </c>
      <c r="H24" s="200">
        <v>886357</v>
      </c>
      <c r="I24" s="200">
        <v>1247261</v>
      </c>
      <c r="J24" s="18">
        <f t="shared" ref="J24:J25" si="2">+I24/F24*100</f>
        <v>172.79319168272553</v>
      </c>
      <c r="K24" s="18">
        <f t="shared" ref="K24:K25" si="3">+I24/H24*100</f>
        <v>140.71767921954699</v>
      </c>
      <c r="N24" s="29"/>
      <c r="O24" s="30"/>
    </row>
    <row r="25" spans="1:15" x14ac:dyDescent="0.25">
      <c r="A25" s="247" t="s">
        <v>20</v>
      </c>
      <c r="B25" s="248"/>
      <c r="C25" s="248"/>
      <c r="D25" s="248"/>
      <c r="E25" s="248"/>
      <c r="F25" s="199">
        <v>-482983.5</v>
      </c>
      <c r="G25" s="200">
        <v>-1247261</v>
      </c>
      <c r="H25" s="200">
        <v>-1247261</v>
      </c>
      <c r="I25" s="200">
        <v>-1265066.72</v>
      </c>
      <c r="J25" s="18">
        <f t="shared" si="2"/>
        <v>261.92752340400858</v>
      </c>
      <c r="K25" s="18">
        <f t="shared" si="3"/>
        <v>101.42758572584248</v>
      </c>
    </row>
    <row r="26" spans="1:15" x14ac:dyDescent="0.25">
      <c r="A26" s="249" t="s">
        <v>21</v>
      </c>
      <c r="B26" s="250"/>
      <c r="C26" s="250"/>
      <c r="D26" s="250"/>
      <c r="E26" s="251"/>
      <c r="F26" s="19">
        <f>+F23+F24+F25</f>
        <v>238839.5</v>
      </c>
      <c r="G26" s="24">
        <f>+G23+G24+G25</f>
        <v>-360904</v>
      </c>
      <c r="H26" s="24">
        <f>+H23+H24+H25</f>
        <v>-360904</v>
      </c>
      <c r="I26" s="19">
        <f>+I23+I24+I25</f>
        <v>-17805.719999999972</v>
      </c>
      <c r="J26" s="19"/>
      <c r="K26" s="19"/>
    </row>
    <row r="27" spans="1:15" x14ac:dyDescent="0.25">
      <c r="A27" s="252" t="s">
        <v>22</v>
      </c>
      <c r="B27" s="252"/>
      <c r="C27" s="252"/>
      <c r="D27" s="252"/>
      <c r="E27" s="252"/>
      <c r="F27" s="23">
        <f>+F16+F26</f>
        <v>0</v>
      </c>
      <c r="G27" s="24">
        <f>+G16+G26</f>
        <v>0</v>
      </c>
      <c r="H27" s="24">
        <f>+H16+H26</f>
        <v>0</v>
      </c>
      <c r="I27" s="23">
        <f>+I16+I26</f>
        <v>-1.1641532182693481E-9</v>
      </c>
      <c r="J27" s="19"/>
      <c r="K27" s="19"/>
    </row>
    <row r="29" spans="1:15" ht="23.25" customHeight="1" x14ac:dyDescent="0.25">
      <c r="A29" s="245"/>
      <c r="B29" s="245"/>
      <c r="C29" s="245"/>
      <c r="D29" s="245"/>
      <c r="E29" s="245"/>
      <c r="F29" s="245"/>
      <c r="G29" s="245"/>
      <c r="H29" s="245"/>
      <c r="I29" s="245"/>
      <c r="J29" s="245"/>
      <c r="K29" s="245"/>
    </row>
    <row r="30" spans="1:15" ht="20.25" customHeight="1" x14ac:dyDescent="0.25">
      <c r="A30" s="245" t="s">
        <v>594</v>
      </c>
      <c r="B30" s="245"/>
      <c r="C30" s="245"/>
      <c r="D30" s="245"/>
      <c r="E30" s="245"/>
      <c r="F30" s="245"/>
      <c r="G30" s="245"/>
      <c r="H30" s="245"/>
      <c r="I30" s="245"/>
      <c r="J30" s="245"/>
      <c r="K30" s="245"/>
    </row>
    <row r="31" spans="1:15" ht="38.25" customHeight="1" x14ac:dyDescent="0.25">
      <c r="A31" s="245" t="s">
        <v>553</v>
      </c>
      <c r="B31" s="245"/>
      <c r="C31" s="245"/>
      <c r="D31" s="245"/>
      <c r="E31" s="245"/>
      <c r="F31" s="245"/>
      <c r="G31" s="245"/>
      <c r="H31" s="245"/>
      <c r="I31" s="245"/>
      <c r="J31" s="245"/>
      <c r="K31" s="245"/>
    </row>
    <row r="32" spans="1:15" x14ac:dyDescent="0.25">
      <c r="A32" s="245"/>
      <c r="B32" s="245"/>
      <c r="C32" s="245"/>
      <c r="D32" s="245"/>
      <c r="E32" s="245"/>
      <c r="F32" s="245"/>
      <c r="G32" s="245"/>
      <c r="H32" s="245"/>
      <c r="I32" s="245"/>
      <c r="J32" s="245"/>
      <c r="K32" s="245"/>
    </row>
    <row r="33" spans="1:11" ht="31.5" customHeight="1" x14ac:dyDescent="0.25">
      <c r="A33" s="246" t="s">
        <v>595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</row>
    <row r="35" spans="1:11" x14ac:dyDescent="0.25">
      <c r="A35" s="292" t="s">
        <v>608</v>
      </c>
    </row>
    <row r="36" spans="1:11" x14ac:dyDescent="0.25">
      <c r="A36" s="292" t="s">
        <v>609</v>
      </c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90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L1" sqref="L1:O1048576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219" width="9.140625" style="31"/>
    <col min="220" max="220" width="15.85546875" style="31" customWidth="1"/>
    <col min="221" max="221" width="57.5703125" style="31" customWidth="1"/>
    <col min="222" max="222" width="20.140625" style="31" customWidth="1"/>
    <col min="223" max="224" width="17.5703125" style="31" bestFit="1" customWidth="1"/>
    <col min="225" max="225" width="16.42578125" style="31" bestFit="1" customWidth="1"/>
    <col min="226" max="226" width="15.5703125" style="31" bestFit="1" customWidth="1"/>
    <col min="227" max="227" width="11.85546875" style="31" bestFit="1" customWidth="1"/>
    <col min="228" max="228" width="15.42578125" style="31" bestFit="1" customWidth="1"/>
    <col min="229" max="229" width="9.42578125" style="31" bestFit="1" customWidth="1"/>
    <col min="230" max="230" width="15.42578125" style="31" bestFit="1" customWidth="1"/>
    <col min="231" max="231" width="9.42578125" style="31" bestFit="1" customWidth="1"/>
    <col min="232" max="475" width="9.140625" style="31"/>
    <col min="476" max="476" width="15.85546875" style="31" customWidth="1"/>
    <col min="477" max="477" width="57.5703125" style="31" customWidth="1"/>
    <col min="478" max="478" width="20.140625" style="31" customWidth="1"/>
    <col min="479" max="480" width="17.5703125" style="31" bestFit="1" customWidth="1"/>
    <col min="481" max="481" width="16.42578125" style="31" bestFit="1" customWidth="1"/>
    <col min="482" max="482" width="15.5703125" style="31" bestFit="1" customWidth="1"/>
    <col min="483" max="483" width="11.85546875" style="31" bestFit="1" customWidth="1"/>
    <col min="484" max="484" width="15.42578125" style="31" bestFit="1" customWidth="1"/>
    <col min="485" max="485" width="9.42578125" style="31" bestFit="1" customWidth="1"/>
    <col min="486" max="486" width="15.42578125" style="31" bestFit="1" customWidth="1"/>
    <col min="487" max="487" width="9.42578125" style="31" bestFit="1" customWidth="1"/>
    <col min="488" max="731" width="9.140625" style="31"/>
    <col min="732" max="732" width="15.85546875" style="31" customWidth="1"/>
    <col min="733" max="733" width="57.5703125" style="31" customWidth="1"/>
    <col min="734" max="734" width="20.140625" style="31" customWidth="1"/>
    <col min="735" max="736" width="17.5703125" style="31" bestFit="1" customWidth="1"/>
    <col min="737" max="737" width="16.42578125" style="31" bestFit="1" customWidth="1"/>
    <col min="738" max="738" width="15.5703125" style="31" bestFit="1" customWidth="1"/>
    <col min="739" max="739" width="11.85546875" style="31" bestFit="1" customWidth="1"/>
    <col min="740" max="740" width="15.42578125" style="31" bestFit="1" customWidth="1"/>
    <col min="741" max="741" width="9.42578125" style="31" bestFit="1" customWidth="1"/>
    <col min="742" max="742" width="15.42578125" style="31" bestFit="1" customWidth="1"/>
    <col min="743" max="743" width="9.42578125" style="31" bestFit="1" customWidth="1"/>
    <col min="744" max="987" width="9.140625" style="31"/>
    <col min="988" max="988" width="15.85546875" style="31" customWidth="1"/>
    <col min="989" max="989" width="57.5703125" style="31" customWidth="1"/>
    <col min="990" max="990" width="20.140625" style="31" customWidth="1"/>
    <col min="991" max="992" width="17.5703125" style="31" bestFit="1" customWidth="1"/>
    <col min="993" max="993" width="16.42578125" style="31" bestFit="1" customWidth="1"/>
    <col min="994" max="994" width="15.5703125" style="31" bestFit="1" customWidth="1"/>
    <col min="995" max="995" width="11.85546875" style="31" bestFit="1" customWidth="1"/>
    <col min="996" max="996" width="15.42578125" style="31" bestFit="1" customWidth="1"/>
    <col min="997" max="997" width="9.42578125" style="31" bestFit="1" customWidth="1"/>
    <col min="998" max="998" width="15.42578125" style="31" bestFit="1" customWidth="1"/>
    <col min="999" max="999" width="9.42578125" style="31" bestFit="1" customWidth="1"/>
    <col min="1000" max="1243" width="9.140625" style="31"/>
    <col min="1244" max="1244" width="15.85546875" style="31" customWidth="1"/>
    <col min="1245" max="1245" width="57.5703125" style="31" customWidth="1"/>
    <col min="1246" max="1246" width="20.140625" style="31" customWidth="1"/>
    <col min="1247" max="1248" width="17.5703125" style="31" bestFit="1" customWidth="1"/>
    <col min="1249" max="1249" width="16.42578125" style="31" bestFit="1" customWidth="1"/>
    <col min="1250" max="1250" width="15.5703125" style="31" bestFit="1" customWidth="1"/>
    <col min="1251" max="1251" width="11.85546875" style="31" bestFit="1" customWidth="1"/>
    <col min="1252" max="1252" width="15.42578125" style="31" bestFit="1" customWidth="1"/>
    <col min="1253" max="1253" width="9.42578125" style="31" bestFit="1" customWidth="1"/>
    <col min="1254" max="1254" width="15.42578125" style="31" bestFit="1" customWidth="1"/>
    <col min="1255" max="1255" width="9.42578125" style="31" bestFit="1" customWidth="1"/>
    <col min="1256" max="1499" width="9.140625" style="31"/>
    <col min="1500" max="1500" width="15.85546875" style="31" customWidth="1"/>
    <col min="1501" max="1501" width="57.5703125" style="31" customWidth="1"/>
    <col min="1502" max="1502" width="20.140625" style="31" customWidth="1"/>
    <col min="1503" max="1504" width="17.5703125" style="31" bestFit="1" customWidth="1"/>
    <col min="1505" max="1505" width="16.42578125" style="31" bestFit="1" customWidth="1"/>
    <col min="1506" max="1506" width="15.5703125" style="31" bestFit="1" customWidth="1"/>
    <col min="1507" max="1507" width="11.85546875" style="31" bestFit="1" customWidth="1"/>
    <col min="1508" max="1508" width="15.42578125" style="31" bestFit="1" customWidth="1"/>
    <col min="1509" max="1509" width="9.42578125" style="31" bestFit="1" customWidth="1"/>
    <col min="1510" max="1510" width="15.42578125" style="31" bestFit="1" customWidth="1"/>
    <col min="1511" max="1511" width="9.42578125" style="31" bestFit="1" customWidth="1"/>
    <col min="1512" max="1755" width="9.140625" style="31"/>
    <col min="1756" max="1756" width="15.85546875" style="31" customWidth="1"/>
    <col min="1757" max="1757" width="57.5703125" style="31" customWidth="1"/>
    <col min="1758" max="1758" width="20.140625" style="31" customWidth="1"/>
    <col min="1759" max="1760" width="17.5703125" style="31" bestFit="1" customWidth="1"/>
    <col min="1761" max="1761" width="16.42578125" style="31" bestFit="1" customWidth="1"/>
    <col min="1762" max="1762" width="15.5703125" style="31" bestFit="1" customWidth="1"/>
    <col min="1763" max="1763" width="11.85546875" style="31" bestFit="1" customWidth="1"/>
    <col min="1764" max="1764" width="15.42578125" style="31" bestFit="1" customWidth="1"/>
    <col min="1765" max="1765" width="9.42578125" style="31" bestFit="1" customWidth="1"/>
    <col min="1766" max="1766" width="15.42578125" style="31" bestFit="1" customWidth="1"/>
    <col min="1767" max="1767" width="9.42578125" style="31" bestFit="1" customWidth="1"/>
    <col min="1768" max="2011" width="9.140625" style="31"/>
    <col min="2012" max="2012" width="15.85546875" style="31" customWidth="1"/>
    <col min="2013" max="2013" width="57.5703125" style="31" customWidth="1"/>
    <col min="2014" max="2014" width="20.140625" style="31" customWidth="1"/>
    <col min="2015" max="2016" width="17.5703125" style="31" bestFit="1" customWidth="1"/>
    <col min="2017" max="2017" width="16.42578125" style="31" bestFit="1" customWidth="1"/>
    <col min="2018" max="2018" width="15.5703125" style="31" bestFit="1" customWidth="1"/>
    <col min="2019" max="2019" width="11.85546875" style="31" bestFit="1" customWidth="1"/>
    <col min="2020" max="2020" width="15.42578125" style="31" bestFit="1" customWidth="1"/>
    <col min="2021" max="2021" width="9.42578125" style="31" bestFit="1" customWidth="1"/>
    <col min="2022" max="2022" width="15.42578125" style="31" bestFit="1" customWidth="1"/>
    <col min="2023" max="2023" width="9.42578125" style="31" bestFit="1" customWidth="1"/>
    <col min="2024" max="2267" width="9.140625" style="31"/>
    <col min="2268" max="2268" width="15.85546875" style="31" customWidth="1"/>
    <col min="2269" max="2269" width="57.5703125" style="31" customWidth="1"/>
    <col min="2270" max="2270" width="20.140625" style="31" customWidth="1"/>
    <col min="2271" max="2272" width="17.5703125" style="31" bestFit="1" customWidth="1"/>
    <col min="2273" max="2273" width="16.42578125" style="31" bestFit="1" customWidth="1"/>
    <col min="2274" max="2274" width="15.5703125" style="31" bestFit="1" customWidth="1"/>
    <col min="2275" max="2275" width="11.85546875" style="31" bestFit="1" customWidth="1"/>
    <col min="2276" max="2276" width="15.42578125" style="31" bestFit="1" customWidth="1"/>
    <col min="2277" max="2277" width="9.42578125" style="31" bestFit="1" customWidth="1"/>
    <col min="2278" max="2278" width="15.42578125" style="31" bestFit="1" customWidth="1"/>
    <col min="2279" max="2279" width="9.42578125" style="31" bestFit="1" customWidth="1"/>
    <col min="2280" max="2523" width="9.140625" style="31"/>
    <col min="2524" max="2524" width="15.85546875" style="31" customWidth="1"/>
    <col min="2525" max="2525" width="57.5703125" style="31" customWidth="1"/>
    <col min="2526" max="2526" width="20.140625" style="31" customWidth="1"/>
    <col min="2527" max="2528" width="17.5703125" style="31" bestFit="1" customWidth="1"/>
    <col min="2529" max="2529" width="16.42578125" style="31" bestFit="1" customWidth="1"/>
    <col min="2530" max="2530" width="15.5703125" style="31" bestFit="1" customWidth="1"/>
    <col min="2531" max="2531" width="11.85546875" style="31" bestFit="1" customWidth="1"/>
    <col min="2532" max="2532" width="15.42578125" style="31" bestFit="1" customWidth="1"/>
    <col min="2533" max="2533" width="9.42578125" style="31" bestFit="1" customWidth="1"/>
    <col min="2534" max="2534" width="15.42578125" style="31" bestFit="1" customWidth="1"/>
    <col min="2535" max="2535" width="9.42578125" style="31" bestFit="1" customWidth="1"/>
    <col min="2536" max="2779" width="9.140625" style="31"/>
    <col min="2780" max="2780" width="15.85546875" style="31" customWidth="1"/>
    <col min="2781" max="2781" width="57.5703125" style="31" customWidth="1"/>
    <col min="2782" max="2782" width="20.140625" style="31" customWidth="1"/>
    <col min="2783" max="2784" width="17.5703125" style="31" bestFit="1" customWidth="1"/>
    <col min="2785" max="2785" width="16.42578125" style="31" bestFit="1" customWidth="1"/>
    <col min="2786" max="2786" width="15.5703125" style="31" bestFit="1" customWidth="1"/>
    <col min="2787" max="2787" width="11.85546875" style="31" bestFit="1" customWidth="1"/>
    <col min="2788" max="2788" width="15.42578125" style="31" bestFit="1" customWidth="1"/>
    <col min="2789" max="2789" width="9.42578125" style="31" bestFit="1" customWidth="1"/>
    <col min="2790" max="2790" width="15.42578125" style="31" bestFit="1" customWidth="1"/>
    <col min="2791" max="2791" width="9.42578125" style="31" bestFit="1" customWidth="1"/>
    <col min="2792" max="3035" width="9.140625" style="31"/>
    <col min="3036" max="3036" width="15.85546875" style="31" customWidth="1"/>
    <col min="3037" max="3037" width="57.5703125" style="31" customWidth="1"/>
    <col min="3038" max="3038" width="20.140625" style="31" customWidth="1"/>
    <col min="3039" max="3040" width="17.5703125" style="31" bestFit="1" customWidth="1"/>
    <col min="3041" max="3041" width="16.42578125" style="31" bestFit="1" customWidth="1"/>
    <col min="3042" max="3042" width="15.5703125" style="31" bestFit="1" customWidth="1"/>
    <col min="3043" max="3043" width="11.85546875" style="31" bestFit="1" customWidth="1"/>
    <col min="3044" max="3044" width="15.42578125" style="31" bestFit="1" customWidth="1"/>
    <col min="3045" max="3045" width="9.42578125" style="31" bestFit="1" customWidth="1"/>
    <col min="3046" max="3046" width="15.42578125" style="31" bestFit="1" customWidth="1"/>
    <col min="3047" max="3047" width="9.42578125" style="31" bestFit="1" customWidth="1"/>
    <col min="3048" max="3291" width="9.140625" style="31"/>
    <col min="3292" max="3292" width="15.85546875" style="31" customWidth="1"/>
    <col min="3293" max="3293" width="57.5703125" style="31" customWidth="1"/>
    <col min="3294" max="3294" width="20.140625" style="31" customWidth="1"/>
    <col min="3295" max="3296" width="17.5703125" style="31" bestFit="1" customWidth="1"/>
    <col min="3297" max="3297" width="16.42578125" style="31" bestFit="1" customWidth="1"/>
    <col min="3298" max="3298" width="15.5703125" style="31" bestFit="1" customWidth="1"/>
    <col min="3299" max="3299" width="11.85546875" style="31" bestFit="1" customWidth="1"/>
    <col min="3300" max="3300" width="15.42578125" style="31" bestFit="1" customWidth="1"/>
    <col min="3301" max="3301" width="9.42578125" style="31" bestFit="1" customWidth="1"/>
    <col min="3302" max="3302" width="15.42578125" style="31" bestFit="1" customWidth="1"/>
    <col min="3303" max="3303" width="9.42578125" style="31" bestFit="1" customWidth="1"/>
    <col min="3304" max="3547" width="9.140625" style="31"/>
    <col min="3548" max="3548" width="15.85546875" style="31" customWidth="1"/>
    <col min="3549" max="3549" width="57.5703125" style="31" customWidth="1"/>
    <col min="3550" max="3550" width="20.140625" style="31" customWidth="1"/>
    <col min="3551" max="3552" width="17.5703125" style="31" bestFit="1" customWidth="1"/>
    <col min="3553" max="3553" width="16.42578125" style="31" bestFit="1" customWidth="1"/>
    <col min="3554" max="3554" width="15.5703125" style="31" bestFit="1" customWidth="1"/>
    <col min="3555" max="3555" width="11.85546875" style="31" bestFit="1" customWidth="1"/>
    <col min="3556" max="3556" width="15.42578125" style="31" bestFit="1" customWidth="1"/>
    <col min="3557" max="3557" width="9.42578125" style="31" bestFit="1" customWidth="1"/>
    <col min="3558" max="3558" width="15.42578125" style="31" bestFit="1" customWidth="1"/>
    <col min="3559" max="3559" width="9.42578125" style="31" bestFit="1" customWidth="1"/>
    <col min="3560" max="3803" width="9.140625" style="31"/>
    <col min="3804" max="3804" width="15.85546875" style="31" customWidth="1"/>
    <col min="3805" max="3805" width="57.5703125" style="31" customWidth="1"/>
    <col min="3806" max="3806" width="20.140625" style="31" customWidth="1"/>
    <col min="3807" max="3808" width="17.5703125" style="31" bestFit="1" customWidth="1"/>
    <col min="3809" max="3809" width="16.42578125" style="31" bestFit="1" customWidth="1"/>
    <col min="3810" max="3810" width="15.5703125" style="31" bestFit="1" customWidth="1"/>
    <col min="3811" max="3811" width="11.85546875" style="31" bestFit="1" customWidth="1"/>
    <col min="3812" max="3812" width="15.42578125" style="31" bestFit="1" customWidth="1"/>
    <col min="3813" max="3813" width="9.42578125" style="31" bestFit="1" customWidth="1"/>
    <col min="3814" max="3814" width="15.42578125" style="31" bestFit="1" customWidth="1"/>
    <col min="3815" max="3815" width="9.42578125" style="31" bestFit="1" customWidth="1"/>
    <col min="3816" max="4059" width="9.140625" style="31"/>
    <col min="4060" max="4060" width="15.85546875" style="31" customWidth="1"/>
    <col min="4061" max="4061" width="57.5703125" style="31" customWidth="1"/>
    <col min="4062" max="4062" width="20.140625" style="31" customWidth="1"/>
    <col min="4063" max="4064" width="17.5703125" style="31" bestFit="1" customWidth="1"/>
    <col min="4065" max="4065" width="16.42578125" style="31" bestFit="1" customWidth="1"/>
    <col min="4066" max="4066" width="15.5703125" style="31" bestFit="1" customWidth="1"/>
    <col min="4067" max="4067" width="11.85546875" style="31" bestFit="1" customWidth="1"/>
    <col min="4068" max="4068" width="15.42578125" style="31" bestFit="1" customWidth="1"/>
    <col min="4069" max="4069" width="9.42578125" style="31" bestFit="1" customWidth="1"/>
    <col min="4070" max="4070" width="15.42578125" style="31" bestFit="1" customWidth="1"/>
    <col min="4071" max="4071" width="9.42578125" style="31" bestFit="1" customWidth="1"/>
    <col min="4072" max="4315" width="9.140625" style="31"/>
    <col min="4316" max="4316" width="15.85546875" style="31" customWidth="1"/>
    <col min="4317" max="4317" width="57.5703125" style="31" customWidth="1"/>
    <col min="4318" max="4318" width="20.140625" style="31" customWidth="1"/>
    <col min="4319" max="4320" width="17.5703125" style="31" bestFit="1" customWidth="1"/>
    <col min="4321" max="4321" width="16.42578125" style="31" bestFit="1" customWidth="1"/>
    <col min="4322" max="4322" width="15.5703125" style="31" bestFit="1" customWidth="1"/>
    <col min="4323" max="4323" width="11.85546875" style="31" bestFit="1" customWidth="1"/>
    <col min="4324" max="4324" width="15.42578125" style="31" bestFit="1" customWidth="1"/>
    <col min="4325" max="4325" width="9.42578125" style="31" bestFit="1" customWidth="1"/>
    <col min="4326" max="4326" width="15.42578125" style="31" bestFit="1" customWidth="1"/>
    <col min="4327" max="4327" width="9.42578125" style="31" bestFit="1" customWidth="1"/>
    <col min="4328" max="4571" width="9.140625" style="31"/>
    <col min="4572" max="4572" width="15.85546875" style="31" customWidth="1"/>
    <col min="4573" max="4573" width="57.5703125" style="31" customWidth="1"/>
    <col min="4574" max="4574" width="20.140625" style="31" customWidth="1"/>
    <col min="4575" max="4576" width="17.5703125" style="31" bestFit="1" customWidth="1"/>
    <col min="4577" max="4577" width="16.42578125" style="31" bestFit="1" customWidth="1"/>
    <col min="4578" max="4578" width="15.5703125" style="31" bestFit="1" customWidth="1"/>
    <col min="4579" max="4579" width="11.85546875" style="31" bestFit="1" customWidth="1"/>
    <col min="4580" max="4580" width="15.42578125" style="31" bestFit="1" customWidth="1"/>
    <col min="4581" max="4581" width="9.42578125" style="31" bestFit="1" customWidth="1"/>
    <col min="4582" max="4582" width="15.42578125" style="31" bestFit="1" customWidth="1"/>
    <col min="4583" max="4583" width="9.42578125" style="31" bestFit="1" customWidth="1"/>
    <col min="4584" max="4827" width="9.140625" style="31"/>
    <col min="4828" max="4828" width="15.85546875" style="31" customWidth="1"/>
    <col min="4829" max="4829" width="57.5703125" style="31" customWidth="1"/>
    <col min="4830" max="4830" width="20.140625" style="31" customWidth="1"/>
    <col min="4831" max="4832" width="17.5703125" style="31" bestFit="1" customWidth="1"/>
    <col min="4833" max="4833" width="16.42578125" style="31" bestFit="1" customWidth="1"/>
    <col min="4834" max="4834" width="15.5703125" style="31" bestFit="1" customWidth="1"/>
    <col min="4835" max="4835" width="11.85546875" style="31" bestFit="1" customWidth="1"/>
    <col min="4836" max="4836" width="15.42578125" style="31" bestFit="1" customWidth="1"/>
    <col min="4837" max="4837" width="9.42578125" style="31" bestFit="1" customWidth="1"/>
    <col min="4838" max="4838" width="15.42578125" style="31" bestFit="1" customWidth="1"/>
    <col min="4839" max="4839" width="9.42578125" style="31" bestFit="1" customWidth="1"/>
    <col min="4840" max="5083" width="9.140625" style="31"/>
    <col min="5084" max="5084" width="15.85546875" style="31" customWidth="1"/>
    <col min="5085" max="5085" width="57.5703125" style="31" customWidth="1"/>
    <col min="5086" max="5086" width="20.140625" style="31" customWidth="1"/>
    <col min="5087" max="5088" width="17.5703125" style="31" bestFit="1" customWidth="1"/>
    <col min="5089" max="5089" width="16.42578125" style="31" bestFit="1" customWidth="1"/>
    <col min="5090" max="5090" width="15.5703125" style="31" bestFit="1" customWidth="1"/>
    <col min="5091" max="5091" width="11.85546875" style="31" bestFit="1" customWidth="1"/>
    <col min="5092" max="5092" width="15.42578125" style="31" bestFit="1" customWidth="1"/>
    <col min="5093" max="5093" width="9.42578125" style="31" bestFit="1" customWidth="1"/>
    <col min="5094" max="5094" width="15.42578125" style="31" bestFit="1" customWidth="1"/>
    <col min="5095" max="5095" width="9.42578125" style="31" bestFit="1" customWidth="1"/>
    <col min="5096" max="5339" width="9.140625" style="31"/>
    <col min="5340" max="5340" width="15.85546875" style="31" customWidth="1"/>
    <col min="5341" max="5341" width="57.5703125" style="31" customWidth="1"/>
    <col min="5342" max="5342" width="20.140625" style="31" customWidth="1"/>
    <col min="5343" max="5344" width="17.5703125" style="31" bestFit="1" customWidth="1"/>
    <col min="5345" max="5345" width="16.42578125" style="31" bestFit="1" customWidth="1"/>
    <col min="5346" max="5346" width="15.5703125" style="31" bestFit="1" customWidth="1"/>
    <col min="5347" max="5347" width="11.85546875" style="31" bestFit="1" customWidth="1"/>
    <col min="5348" max="5348" width="15.42578125" style="31" bestFit="1" customWidth="1"/>
    <col min="5349" max="5349" width="9.42578125" style="31" bestFit="1" customWidth="1"/>
    <col min="5350" max="5350" width="15.42578125" style="31" bestFit="1" customWidth="1"/>
    <col min="5351" max="5351" width="9.42578125" style="31" bestFit="1" customWidth="1"/>
    <col min="5352" max="5595" width="9.140625" style="31"/>
    <col min="5596" max="5596" width="15.85546875" style="31" customWidth="1"/>
    <col min="5597" max="5597" width="57.5703125" style="31" customWidth="1"/>
    <col min="5598" max="5598" width="20.140625" style="31" customWidth="1"/>
    <col min="5599" max="5600" width="17.5703125" style="31" bestFit="1" customWidth="1"/>
    <col min="5601" max="5601" width="16.42578125" style="31" bestFit="1" customWidth="1"/>
    <col min="5602" max="5602" width="15.5703125" style="31" bestFit="1" customWidth="1"/>
    <col min="5603" max="5603" width="11.85546875" style="31" bestFit="1" customWidth="1"/>
    <col min="5604" max="5604" width="15.42578125" style="31" bestFit="1" customWidth="1"/>
    <col min="5605" max="5605" width="9.42578125" style="31" bestFit="1" customWidth="1"/>
    <col min="5606" max="5606" width="15.42578125" style="31" bestFit="1" customWidth="1"/>
    <col min="5607" max="5607" width="9.42578125" style="31" bestFit="1" customWidth="1"/>
    <col min="5608" max="5851" width="9.140625" style="31"/>
    <col min="5852" max="5852" width="15.85546875" style="31" customWidth="1"/>
    <col min="5853" max="5853" width="57.5703125" style="31" customWidth="1"/>
    <col min="5854" max="5854" width="20.140625" style="31" customWidth="1"/>
    <col min="5855" max="5856" width="17.5703125" style="31" bestFit="1" customWidth="1"/>
    <col min="5857" max="5857" width="16.42578125" style="31" bestFit="1" customWidth="1"/>
    <col min="5858" max="5858" width="15.5703125" style="31" bestFit="1" customWidth="1"/>
    <col min="5859" max="5859" width="11.85546875" style="31" bestFit="1" customWidth="1"/>
    <col min="5860" max="5860" width="15.42578125" style="31" bestFit="1" customWidth="1"/>
    <col min="5861" max="5861" width="9.42578125" style="31" bestFit="1" customWidth="1"/>
    <col min="5862" max="5862" width="15.42578125" style="31" bestFit="1" customWidth="1"/>
    <col min="5863" max="5863" width="9.42578125" style="31" bestFit="1" customWidth="1"/>
    <col min="5864" max="6107" width="9.140625" style="31"/>
    <col min="6108" max="6108" width="15.85546875" style="31" customWidth="1"/>
    <col min="6109" max="6109" width="57.5703125" style="31" customWidth="1"/>
    <col min="6110" max="6110" width="20.140625" style="31" customWidth="1"/>
    <col min="6111" max="6112" width="17.5703125" style="31" bestFit="1" customWidth="1"/>
    <col min="6113" max="6113" width="16.42578125" style="31" bestFit="1" customWidth="1"/>
    <col min="6114" max="6114" width="15.5703125" style="31" bestFit="1" customWidth="1"/>
    <col min="6115" max="6115" width="11.85546875" style="31" bestFit="1" customWidth="1"/>
    <col min="6116" max="6116" width="15.42578125" style="31" bestFit="1" customWidth="1"/>
    <col min="6117" max="6117" width="9.42578125" style="31" bestFit="1" customWidth="1"/>
    <col min="6118" max="6118" width="15.42578125" style="31" bestFit="1" customWidth="1"/>
    <col min="6119" max="6119" width="9.42578125" style="31" bestFit="1" customWidth="1"/>
    <col min="6120" max="6363" width="9.140625" style="31"/>
    <col min="6364" max="6364" width="15.85546875" style="31" customWidth="1"/>
    <col min="6365" max="6365" width="57.5703125" style="31" customWidth="1"/>
    <col min="6366" max="6366" width="20.140625" style="31" customWidth="1"/>
    <col min="6367" max="6368" width="17.5703125" style="31" bestFit="1" customWidth="1"/>
    <col min="6369" max="6369" width="16.42578125" style="31" bestFit="1" customWidth="1"/>
    <col min="6370" max="6370" width="15.5703125" style="31" bestFit="1" customWidth="1"/>
    <col min="6371" max="6371" width="11.85546875" style="31" bestFit="1" customWidth="1"/>
    <col min="6372" max="6372" width="15.42578125" style="31" bestFit="1" customWidth="1"/>
    <col min="6373" max="6373" width="9.42578125" style="31" bestFit="1" customWidth="1"/>
    <col min="6374" max="6374" width="15.42578125" style="31" bestFit="1" customWidth="1"/>
    <col min="6375" max="6375" width="9.42578125" style="31" bestFit="1" customWidth="1"/>
    <col min="6376" max="6619" width="9.140625" style="31"/>
    <col min="6620" max="6620" width="15.85546875" style="31" customWidth="1"/>
    <col min="6621" max="6621" width="57.5703125" style="31" customWidth="1"/>
    <col min="6622" max="6622" width="20.140625" style="31" customWidth="1"/>
    <col min="6623" max="6624" width="17.5703125" style="31" bestFit="1" customWidth="1"/>
    <col min="6625" max="6625" width="16.42578125" style="31" bestFit="1" customWidth="1"/>
    <col min="6626" max="6626" width="15.5703125" style="31" bestFit="1" customWidth="1"/>
    <col min="6627" max="6627" width="11.85546875" style="31" bestFit="1" customWidth="1"/>
    <col min="6628" max="6628" width="15.42578125" style="31" bestFit="1" customWidth="1"/>
    <col min="6629" max="6629" width="9.42578125" style="31" bestFit="1" customWidth="1"/>
    <col min="6630" max="6630" width="15.42578125" style="31" bestFit="1" customWidth="1"/>
    <col min="6631" max="6631" width="9.42578125" style="31" bestFit="1" customWidth="1"/>
    <col min="6632" max="6875" width="9.140625" style="31"/>
    <col min="6876" max="6876" width="15.85546875" style="31" customWidth="1"/>
    <col min="6877" max="6877" width="57.5703125" style="31" customWidth="1"/>
    <col min="6878" max="6878" width="20.140625" style="31" customWidth="1"/>
    <col min="6879" max="6880" width="17.5703125" style="31" bestFit="1" customWidth="1"/>
    <col min="6881" max="6881" width="16.42578125" style="31" bestFit="1" customWidth="1"/>
    <col min="6882" max="6882" width="15.5703125" style="31" bestFit="1" customWidth="1"/>
    <col min="6883" max="6883" width="11.85546875" style="31" bestFit="1" customWidth="1"/>
    <col min="6884" max="6884" width="15.42578125" style="31" bestFit="1" customWidth="1"/>
    <col min="6885" max="6885" width="9.42578125" style="31" bestFit="1" customWidth="1"/>
    <col min="6886" max="6886" width="15.42578125" style="31" bestFit="1" customWidth="1"/>
    <col min="6887" max="6887" width="9.42578125" style="31" bestFit="1" customWidth="1"/>
    <col min="6888" max="7131" width="9.140625" style="31"/>
    <col min="7132" max="7132" width="15.85546875" style="31" customWidth="1"/>
    <col min="7133" max="7133" width="57.5703125" style="31" customWidth="1"/>
    <col min="7134" max="7134" width="20.140625" style="31" customWidth="1"/>
    <col min="7135" max="7136" width="17.5703125" style="31" bestFit="1" customWidth="1"/>
    <col min="7137" max="7137" width="16.42578125" style="31" bestFit="1" customWidth="1"/>
    <col min="7138" max="7138" width="15.5703125" style="31" bestFit="1" customWidth="1"/>
    <col min="7139" max="7139" width="11.85546875" style="31" bestFit="1" customWidth="1"/>
    <col min="7140" max="7140" width="15.42578125" style="31" bestFit="1" customWidth="1"/>
    <col min="7141" max="7141" width="9.42578125" style="31" bestFit="1" customWidth="1"/>
    <col min="7142" max="7142" width="15.42578125" style="31" bestFit="1" customWidth="1"/>
    <col min="7143" max="7143" width="9.42578125" style="31" bestFit="1" customWidth="1"/>
    <col min="7144" max="7387" width="9.140625" style="31"/>
    <col min="7388" max="7388" width="15.85546875" style="31" customWidth="1"/>
    <col min="7389" max="7389" width="57.5703125" style="31" customWidth="1"/>
    <col min="7390" max="7390" width="20.140625" style="31" customWidth="1"/>
    <col min="7391" max="7392" width="17.5703125" style="31" bestFit="1" customWidth="1"/>
    <col min="7393" max="7393" width="16.42578125" style="31" bestFit="1" customWidth="1"/>
    <col min="7394" max="7394" width="15.5703125" style="31" bestFit="1" customWidth="1"/>
    <col min="7395" max="7395" width="11.85546875" style="31" bestFit="1" customWidth="1"/>
    <col min="7396" max="7396" width="15.42578125" style="31" bestFit="1" customWidth="1"/>
    <col min="7397" max="7397" width="9.42578125" style="31" bestFit="1" customWidth="1"/>
    <col min="7398" max="7398" width="15.42578125" style="31" bestFit="1" customWidth="1"/>
    <col min="7399" max="7399" width="9.42578125" style="31" bestFit="1" customWidth="1"/>
    <col min="7400" max="7643" width="9.140625" style="31"/>
    <col min="7644" max="7644" width="15.85546875" style="31" customWidth="1"/>
    <col min="7645" max="7645" width="57.5703125" style="31" customWidth="1"/>
    <col min="7646" max="7646" width="20.140625" style="31" customWidth="1"/>
    <col min="7647" max="7648" width="17.5703125" style="31" bestFit="1" customWidth="1"/>
    <col min="7649" max="7649" width="16.42578125" style="31" bestFit="1" customWidth="1"/>
    <col min="7650" max="7650" width="15.5703125" style="31" bestFit="1" customWidth="1"/>
    <col min="7651" max="7651" width="11.85546875" style="31" bestFit="1" customWidth="1"/>
    <col min="7652" max="7652" width="15.42578125" style="31" bestFit="1" customWidth="1"/>
    <col min="7653" max="7653" width="9.42578125" style="31" bestFit="1" customWidth="1"/>
    <col min="7654" max="7654" width="15.42578125" style="31" bestFit="1" customWidth="1"/>
    <col min="7655" max="7655" width="9.42578125" style="31" bestFit="1" customWidth="1"/>
    <col min="7656" max="7899" width="9.140625" style="31"/>
    <col min="7900" max="7900" width="15.85546875" style="31" customWidth="1"/>
    <col min="7901" max="7901" width="57.5703125" style="31" customWidth="1"/>
    <col min="7902" max="7902" width="20.140625" style="31" customWidth="1"/>
    <col min="7903" max="7904" width="17.5703125" style="31" bestFit="1" customWidth="1"/>
    <col min="7905" max="7905" width="16.42578125" style="31" bestFit="1" customWidth="1"/>
    <col min="7906" max="7906" width="15.5703125" style="31" bestFit="1" customWidth="1"/>
    <col min="7907" max="7907" width="11.85546875" style="31" bestFit="1" customWidth="1"/>
    <col min="7908" max="7908" width="15.42578125" style="31" bestFit="1" customWidth="1"/>
    <col min="7909" max="7909" width="9.42578125" style="31" bestFit="1" customWidth="1"/>
    <col min="7910" max="7910" width="15.42578125" style="31" bestFit="1" customWidth="1"/>
    <col min="7911" max="7911" width="9.42578125" style="31" bestFit="1" customWidth="1"/>
    <col min="7912" max="8155" width="9.140625" style="31"/>
    <col min="8156" max="8156" width="15.85546875" style="31" customWidth="1"/>
    <col min="8157" max="8157" width="57.5703125" style="31" customWidth="1"/>
    <col min="8158" max="8158" width="20.140625" style="31" customWidth="1"/>
    <col min="8159" max="8160" width="17.5703125" style="31" bestFit="1" customWidth="1"/>
    <col min="8161" max="8161" width="16.42578125" style="31" bestFit="1" customWidth="1"/>
    <col min="8162" max="8162" width="15.5703125" style="31" bestFit="1" customWidth="1"/>
    <col min="8163" max="8163" width="11.85546875" style="31" bestFit="1" customWidth="1"/>
    <col min="8164" max="8164" width="15.42578125" style="31" bestFit="1" customWidth="1"/>
    <col min="8165" max="8165" width="9.42578125" style="31" bestFit="1" customWidth="1"/>
    <col min="8166" max="8166" width="15.42578125" style="31" bestFit="1" customWidth="1"/>
    <col min="8167" max="8167" width="9.42578125" style="31" bestFit="1" customWidth="1"/>
    <col min="8168" max="8411" width="9.140625" style="31"/>
    <col min="8412" max="8412" width="15.85546875" style="31" customWidth="1"/>
    <col min="8413" max="8413" width="57.5703125" style="31" customWidth="1"/>
    <col min="8414" max="8414" width="20.140625" style="31" customWidth="1"/>
    <col min="8415" max="8416" width="17.5703125" style="31" bestFit="1" customWidth="1"/>
    <col min="8417" max="8417" width="16.42578125" style="31" bestFit="1" customWidth="1"/>
    <col min="8418" max="8418" width="15.5703125" style="31" bestFit="1" customWidth="1"/>
    <col min="8419" max="8419" width="11.85546875" style="31" bestFit="1" customWidth="1"/>
    <col min="8420" max="8420" width="15.42578125" style="31" bestFit="1" customWidth="1"/>
    <col min="8421" max="8421" width="9.42578125" style="31" bestFit="1" customWidth="1"/>
    <col min="8422" max="8422" width="15.42578125" style="31" bestFit="1" customWidth="1"/>
    <col min="8423" max="8423" width="9.42578125" style="31" bestFit="1" customWidth="1"/>
    <col min="8424" max="8667" width="9.140625" style="31"/>
    <col min="8668" max="8668" width="15.85546875" style="31" customWidth="1"/>
    <col min="8669" max="8669" width="57.5703125" style="31" customWidth="1"/>
    <col min="8670" max="8670" width="20.140625" style="31" customWidth="1"/>
    <col min="8671" max="8672" width="17.5703125" style="31" bestFit="1" customWidth="1"/>
    <col min="8673" max="8673" width="16.42578125" style="31" bestFit="1" customWidth="1"/>
    <col min="8674" max="8674" width="15.5703125" style="31" bestFit="1" customWidth="1"/>
    <col min="8675" max="8675" width="11.85546875" style="31" bestFit="1" customWidth="1"/>
    <col min="8676" max="8676" width="15.42578125" style="31" bestFit="1" customWidth="1"/>
    <col min="8677" max="8677" width="9.42578125" style="31" bestFit="1" customWidth="1"/>
    <col min="8678" max="8678" width="15.42578125" style="31" bestFit="1" customWidth="1"/>
    <col min="8679" max="8679" width="9.42578125" style="31" bestFit="1" customWidth="1"/>
    <col min="8680" max="8923" width="9.140625" style="31"/>
    <col min="8924" max="8924" width="15.85546875" style="31" customWidth="1"/>
    <col min="8925" max="8925" width="57.5703125" style="31" customWidth="1"/>
    <col min="8926" max="8926" width="20.140625" style="31" customWidth="1"/>
    <col min="8927" max="8928" width="17.5703125" style="31" bestFit="1" customWidth="1"/>
    <col min="8929" max="8929" width="16.42578125" style="31" bestFit="1" customWidth="1"/>
    <col min="8930" max="8930" width="15.5703125" style="31" bestFit="1" customWidth="1"/>
    <col min="8931" max="8931" width="11.85546875" style="31" bestFit="1" customWidth="1"/>
    <col min="8932" max="8932" width="15.42578125" style="31" bestFit="1" customWidth="1"/>
    <col min="8933" max="8933" width="9.42578125" style="31" bestFit="1" customWidth="1"/>
    <col min="8934" max="8934" width="15.42578125" style="31" bestFit="1" customWidth="1"/>
    <col min="8935" max="8935" width="9.42578125" style="31" bestFit="1" customWidth="1"/>
    <col min="8936" max="9179" width="9.140625" style="31"/>
    <col min="9180" max="9180" width="15.85546875" style="31" customWidth="1"/>
    <col min="9181" max="9181" width="57.5703125" style="31" customWidth="1"/>
    <col min="9182" max="9182" width="20.140625" style="31" customWidth="1"/>
    <col min="9183" max="9184" width="17.5703125" style="31" bestFit="1" customWidth="1"/>
    <col min="9185" max="9185" width="16.42578125" style="31" bestFit="1" customWidth="1"/>
    <col min="9186" max="9186" width="15.5703125" style="31" bestFit="1" customWidth="1"/>
    <col min="9187" max="9187" width="11.85546875" style="31" bestFit="1" customWidth="1"/>
    <col min="9188" max="9188" width="15.42578125" style="31" bestFit="1" customWidth="1"/>
    <col min="9189" max="9189" width="9.42578125" style="31" bestFit="1" customWidth="1"/>
    <col min="9190" max="9190" width="15.42578125" style="31" bestFit="1" customWidth="1"/>
    <col min="9191" max="9191" width="9.42578125" style="31" bestFit="1" customWidth="1"/>
    <col min="9192" max="9435" width="9.140625" style="31"/>
    <col min="9436" max="9436" width="15.85546875" style="31" customWidth="1"/>
    <col min="9437" max="9437" width="57.5703125" style="31" customWidth="1"/>
    <col min="9438" max="9438" width="20.140625" style="31" customWidth="1"/>
    <col min="9439" max="9440" width="17.5703125" style="31" bestFit="1" customWidth="1"/>
    <col min="9441" max="9441" width="16.42578125" style="31" bestFit="1" customWidth="1"/>
    <col min="9442" max="9442" width="15.5703125" style="31" bestFit="1" customWidth="1"/>
    <col min="9443" max="9443" width="11.85546875" style="31" bestFit="1" customWidth="1"/>
    <col min="9444" max="9444" width="15.42578125" style="31" bestFit="1" customWidth="1"/>
    <col min="9445" max="9445" width="9.42578125" style="31" bestFit="1" customWidth="1"/>
    <col min="9446" max="9446" width="15.42578125" style="31" bestFit="1" customWidth="1"/>
    <col min="9447" max="9447" width="9.42578125" style="31" bestFit="1" customWidth="1"/>
    <col min="9448" max="9691" width="9.140625" style="31"/>
    <col min="9692" max="9692" width="15.85546875" style="31" customWidth="1"/>
    <col min="9693" max="9693" width="57.5703125" style="31" customWidth="1"/>
    <col min="9694" max="9694" width="20.140625" style="31" customWidth="1"/>
    <col min="9695" max="9696" width="17.5703125" style="31" bestFit="1" customWidth="1"/>
    <col min="9697" max="9697" width="16.42578125" style="31" bestFit="1" customWidth="1"/>
    <col min="9698" max="9698" width="15.5703125" style="31" bestFit="1" customWidth="1"/>
    <col min="9699" max="9699" width="11.85546875" style="31" bestFit="1" customWidth="1"/>
    <col min="9700" max="9700" width="15.42578125" style="31" bestFit="1" customWidth="1"/>
    <col min="9701" max="9701" width="9.42578125" style="31" bestFit="1" customWidth="1"/>
    <col min="9702" max="9702" width="15.42578125" style="31" bestFit="1" customWidth="1"/>
    <col min="9703" max="9703" width="9.42578125" style="31" bestFit="1" customWidth="1"/>
    <col min="9704" max="9947" width="9.140625" style="31"/>
    <col min="9948" max="9948" width="15.85546875" style="31" customWidth="1"/>
    <col min="9949" max="9949" width="57.5703125" style="31" customWidth="1"/>
    <col min="9950" max="9950" width="20.140625" style="31" customWidth="1"/>
    <col min="9951" max="9952" width="17.5703125" style="31" bestFit="1" customWidth="1"/>
    <col min="9953" max="9953" width="16.42578125" style="31" bestFit="1" customWidth="1"/>
    <col min="9954" max="9954" width="15.5703125" style="31" bestFit="1" customWidth="1"/>
    <col min="9955" max="9955" width="11.85546875" style="31" bestFit="1" customWidth="1"/>
    <col min="9956" max="9956" width="15.42578125" style="31" bestFit="1" customWidth="1"/>
    <col min="9957" max="9957" width="9.42578125" style="31" bestFit="1" customWidth="1"/>
    <col min="9958" max="9958" width="15.42578125" style="31" bestFit="1" customWidth="1"/>
    <col min="9959" max="9959" width="9.42578125" style="31" bestFit="1" customWidth="1"/>
    <col min="9960" max="10203" width="9.140625" style="31"/>
    <col min="10204" max="10204" width="15.85546875" style="31" customWidth="1"/>
    <col min="10205" max="10205" width="57.5703125" style="31" customWidth="1"/>
    <col min="10206" max="10206" width="20.140625" style="31" customWidth="1"/>
    <col min="10207" max="10208" width="17.5703125" style="31" bestFit="1" customWidth="1"/>
    <col min="10209" max="10209" width="16.42578125" style="31" bestFit="1" customWidth="1"/>
    <col min="10210" max="10210" width="15.5703125" style="31" bestFit="1" customWidth="1"/>
    <col min="10211" max="10211" width="11.85546875" style="31" bestFit="1" customWidth="1"/>
    <col min="10212" max="10212" width="15.42578125" style="31" bestFit="1" customWidth="1"/>
    <col min="10213" max="10213" width="9.42578125" style="31" bestFit="1" customWidth="1"/>
    <col min="10214" max="10214" width="15.42578125" style="31" bestFit="1" customWidth="1"/>
    <col min="10215" max="10215" width="9.42578125" style="31" bestFit="1" customWidth="1"/>
    <col min="10216" max="10459" width="9.140625" style="31"/>
    <col min="10460" max="10460" width="15.85546875" style="31" customWidth="1"/>
    <col min="10461" max="10461" width="57.5703125" style="31" customWidth="1"/>
    <col min="10462" max="10462" width="20.140625" style="31" customWidth="1"/>
    <col min="10463" max="10464" width="17.5703125" style="31" bestFit="1" customWidth="1"/>
    <col min="10465" max="10465" width="16.42578125" style="31" bestFit="1" customWidth="1"/>
    <col min="10466" max="10466" width="15.5703125" style="31" bestFit="1" customWidth="1"/>
    <col min="10467" max="10467" width="11.85546875" style="31" bestFit="1" customWidth="1"/>
    <col min="10468" max="10468" width="15.42578125" style="31" bestFit="1" customWidth="1"/>
    <col min="10469" max="10469" width="9.42578125" style="31" bestFit="1" customWidth="1"/>
    <col min="10470" max="10470" width="15.42578125" style="31" bestFit="1" customWidth="1"/>
    <col min="10471" max="10471" width="9.42578125" style="31" bestFit="1" customWidth="1"/>
    <col min="10472" max="10715" width="9.140625" style="31"/>
    <col min="10716" max="10716" width="15.85546875" style="31" customWidth="1"/>
    <col min="10717" max="10717" width="57.5703125" style="31" customWidth="1"/>
    <col min="10718" max="10718" width="20.140625" style="31" customWidth="1"/>
    <col min="10719" max="10720" width="17.5703125" style="31" bestFit="1" customWidth="1"/>
    <col min="10721" max="10721" width="16.42578125" style="31" bestFit="1" customWidth="1"/>
    <col min="10722" max="10722" width="15.5703125" style="31" bestFit="1" customWidth="1"/>
    <col min="10723" max="10723" width="11.85546875" style="31" bestFit="1" customWidth="1"/>
    <col min="10724" max="10724" width="15.42578125" style="31" bestFit="1" customWidth="1"/>
    <col min="10725" max="10725" width="9.42578125" style="31" bestFit="1" customWidth="1"/>
    <col min="10726" max="10726" width="15.42578125" style="31" bestFit="1" customWidth="1"/>
    <col min="10727" max="10727" width="9.42578125" style="31" bestFit="1" customWidth="1"/>
    <col min="10728" max="10971" width="9.140625" style="31"/>
    <col min="10972" max="10972" width="15.85546875" style="31" customWidth="1"/>
    <col min="10973" max="10973" width="57.5703125" style="31" customWidth="1"/>
    <col min="10974" max="10974" width="20.140625" style="31" customWidth="1"/>
    <col min="10975" max="10976" width="17.5703125" style="31" bestFit="1" customWidth="1"/>
    <col min="10977" max="10977" width="16.42578125" style="31" bestFit="1" customWidth="1"/>
    <col min="10978" max="10978" width="15.5703125" style="31" bestFit="1" customWidth="1"/>
    <col min="10979" max="10979" width="11.85546875" style="31" bestFit="1" customWidth="1"/>
    <col min="10980" max="10980" width="15.42578125" style="31" bestFit="1" customWidth="1"/>
    <col min="10981" max="10981" width="9.42578125" style="31" bestFit="1" customWidth="1"/>
    <col min="10982" max="10982" width="15.42578125" style="31" bestFit="1" customWidth="1"/>
    <col min="10983" max="10983" width="9.42578125" style="31" bestFit="1" customWidth="1"/>
    <col min="10984" max="11227" width="9.140625" style="31"/>
    <col min="11228" max="11228" width="15.85546875" style="31" customWidth="1"/>
    <col min="11229" max="11229" width="57.5703125" style="31" customWidth="1"/>
    <col min="11230" max="11230" width="20.140625" style="31" customWidth="1"/>
    <col min="11231" max="11232" width="17.5703125" style="31" bestFit="1" customWidth="1"/>
    <col min="11233" max="11233" width="16.42578125" style="31" bestFit="1" customWidth="1"/>
    <col min="11234" max="11234" width="15.5703125" style="31" bestFit="1" customWidth="1"/>
    <col min="11235" max="11235" width="11.85546875" style="31" bestFit="1" customWidth="1"/>
    <col min="11236" max="11236" width="15.42578125" style="31" bestFit="1" customWidth="1"/>
    <col min="11237" max="11237" width="9.42578125" style="31" bestFit="1" customWidth="1"/>
    <col min="11238" max="11238" width="15.42578125" style="31" bestFit="1" customWidth="1"/>
    <col min="11239" max="11239" width="9.42578125" style="31" bestFit="1" customWidth="1"/>
    <col min="11240" max="11483" width="9.140625" style="31"/>
    <col min="11484" max="11484" width="15.85546875" style="31" customWidth="1"/>
    <col min="11485" max="11485" width="57.5703125" style="31" customWidth="1"/>
    <col min="11486" max="11486" width="20.140625" style="31" customWidth="1"/>
    <col min="11487" max="11488" width="17.5703125" style="31" bestFit="1" customWidth="1"/>
    <col min="11489" max="11489" width="16.42578125" style="31" bestFit="1" customWidth="1"/>
    <col min="11490" max="11490" width="15.5703125" style="31" bestFit="1" customWidth="1"/>
    <col min="11491" max="11491" width="11.85546875" style="31" bestFit="1" customWidth="1"/>
    <col min="11492" max="11492" width="15.42578125" style="31" bestFit="1" customWidth="1"/>
    <col min="11493" max="11493" width="9.42578125" style="31" bestFit="1" customWidth="1"/>
    <col min="11494" max="11494" width="15.42578125" style="31" bestFit="1" customWidth="1"/>
    <col min="11495" max="11495" width="9.42578125" style="31" bestFit="1" customWidth="1"/>
    <col min="11496" max="11739" width="9.140625" style="31"/>
    <col min="11740" max="11740" width="15.85546875" style="31" customWidth="1"/>
    <col min="11741" max="11741" width="57.5703125" style="31" customWidth="1"/>
    <col min="11742" max="11742" width="20.140625" style="31" customWidth="1"/>
    <col min="11743" max="11744" width="17.5703125" style="31" bestFit="1" customWidth="1"/>
    <col min="11745" max="11745" width="16.42578125" style="31" bestFit="1" customWidth="1"/>
    <col min="11746" max="11746" width="15.5703125" style="31" bestFit="1" customWidth="1"/>
    <col min="11747" max="11747" width="11.85546875" style="31" bestFit="1" customWidth="1"/>
    <col min="11748" max="11748" width="15.42578125" style="31" bestFit="1" customWidth="1"/>
    <col min="11749" max="11749" width="9.42578125" style="31" bestFit="1" customWidth="1"/>
    <col min="11750" max="11750" width="15.42578125" style="31" bestFit="1" customWidth="1"/>
    <col min="11751" max="11751" width="9.42578125" style="31" bestFit="1" customWidth="1"/>
    <col min="11752" max="11995" width="9.140625" style="31"/>
    <col min="11996" max="11996" width="15.85546875" style="31" customWidth="1"/>
    <col min="11997" max="11997" width="57.5703125" style="31" customWidth="1"/>
    <col min="11998" max="11998" width="20.140625" style="31" customWidth="1"/>
    <col min="11999" max="12000" width="17.5703125" style="31" bestFit="1" customWidth="1"/>
    <col min="12001" max="12001" width="16.42578125" style="31" bestFit="1" customWidth="1"/>
    <col min="12002" max="12002" width="15.5703125" style="31" bestFit="1" customWidth="1"/>
    <col min="12003" max="12003" width="11.85546875" style="31" bestFit="1" customWidth="1"/>
    <col min="12004" max="12004" width="15.42578125" style="31" bestFit="1" customWidth="1"/>
    <col min="12005" max="12005" width="9.42578125" style="31" bestFit="1" customWidth="1"/>
    <col min="12006" max="12006" width="15.42578125" style="31" bestFit="1" customWidth="1"/>
    <col min="12007" max="12007" width="9.42578125" style="31" bestFit="1" customWidth="1"/>
    <col min="12008" max="12251" width="9.140625" style="31"/>
    <col min="12252" max="12252" width="15.85546875" style="31" customWidth="1"/>
    <col min="12253" max="12253" width="57.5703125" style="31" customWidth="1"/>
    <col min="12254" max="12254" width="20.140625" style="31" customWidth="1"/>
    <col min="12255" max="12256" width="17.5703125" style="31" bestFit="1" customWidth="1"/>
    <col min="12257" max="12257" width="16.42578125" style="31" bestFit="1" customWidth="1"/>
    <col min="12258" max="12258" width="15.5703125" style="31" bestFit="1" customWidth="1"/>
    <col min="12259" max="12259" width="11.85546875" style="31" bestFit="1" customWidth="1"/>
    <col min="12260" max="12260" width="15.42578125" style="31" bestFit="1" customWidth="1"/>
    <col min="12261" max="12261" width="9.42578125" style="31" bestFit="1" customWidth="1"/>
    <col min="12262" max="12262" width="15.42578125" style="31" bestFit="1" customWidth="1"/>
    <col min="12263" max="12263" width="9.42578125" style="31" bestFit="1" customWidth="1"/>
    <col min="12264" max="12507" width="9.140625" style="31"/>
    <col min="12508" max="12508" width="15.85546875" style="31" customWidth="1"/>
    <col min="12509" max="12509" width="57.5703125" style="31" customWidth="1"/>
    <col min="12510" max="12510" width="20.140625" style="31" customWidth="1"/>
    <col min="12511" max="12512" width="17.5703125" style="31" bestFit="1" customWidth="1"/>
    <col min="12513" max="12513" width="16.42578125" style="31" bestFit="1" customWidth="1"/>
    <col min="12514" max="12514" width="15.5703125" style="31" bestFit="1" customWidth="1"/>
    <col min="12515" max="12515" width="11.85546875" style="31" bestFit="1" customWidth="1"/>
    <col min="12516" max="12516" width="15.42578125" style="31" bestFit="1" customWidth="1"/>
    <col min="12517" max="12517" width="9.42578125" style="31" bestFit="1" customWidth="1"/>
    <col min="12518" max="12518" width="15.42578125" style="31" bestFit="1" customWidth="1"/>
    <col min="12519" max="12519" width="9.42578125" style="31" bestFit="1" customWidth="1"/>
    <col min="12520" max="12763" width="9.140625" style="31"/>
    <col min="12764" max="12764" width="15.85546875" style="31" customWidth="1"/>
    <col min="12765" max="12765" width="57.5703125" style="31" customWidth="1"/>
    <col min="12766" max="12766" width="20.140625" style="31" customWidth="1"/>
    <col min="12767" max="12768" width="17.5703125" style="31" bestFit="1" customWidth="1"/>
    <col min="12769" max="12769" width="16.42578125" style="31" bestFit="1" customWidth="1"/>
    <col min="12770" max="12770" width="15.5703125" style="31" bestFit="1" customWidth="1"/>
    <col min="12771" max="12771" width="11.85546875" style="31" bestFit="1" customWidth="1"/>
    <col min="12772" max="12772" width="15.42578125" style="31" bestFit="1" customWidth="1"/>
    <col min="12773" max="12773" width="9.42578125" style="31" bestFit="1" customWidth="1"/>
    <col min="12774" max="12774" width="15.42578125" style="31" bestFit="1" customWidth="1"/>
    <col min="12775" max="12775" width="9.42578125" style="31" bestFit="1" customWidth="1"/>
    <col min="12776" max="13019" width="9.140625" style="31"/>
    <col min="13020" max="13020" width="15.85546875" style="31" customWidth="1"/>
    <col min="13021" max="13021" width="57.5703125" style="31" customWidth="1"/>
    <col min="13022" max="13022" width="20.140625" style="31" customWidth="1"/>
    <col min="13023" max="13024" width="17.5703125" style="31" bestFit="1" customWidth="1"/>
    <col min="13025" max="13025" width="16.42578125" style="31" bestFit="1" customWidth="1"/>
    <col min="13026" max="13026" width="15.5703125" style="31" bestFit="1" customWidth="1"/>
    <col min="13027" max="13027" width="11.85546875" style="31" bestFit="1" customWidth="1"/>
    <col min="13028" max="13028" width="15.42578125" style="31" bestFit="1" customWidth="1"/>
    <col min="13029" max="13029" width="9.42578125" style="31" bestFit="1" customWidth="1"/>
    <col min="13030" max="13030" width="15.42578125" style="31" bestFit="1" customWidth="1"/>
    <col min="13031" max="13031" width="9.42578125" style="31" bestFit="1" customWidth="1"/>
    <col min="13032" max="13275" width="9.140625" style="31"/>
    <col min="13276" max="13276" width="15.85546875" style="31" customWidth="1"/>
    <col min="13277" max="13277" width="57.5703125" style="31" customWidth="1"/>
    <col min="13278" max="13278" width="20.140625" style="31" customWidth="1"/>
    <col min="13279" max="13280" width="17.5703125" style="31" bestFit="1" customWidth="1"/>
    <col min="13281" max="13281" width="16.42578125" style="31" bestFit="1" customWidth="1"/>
    <col min="13282" max="13282" width="15.5703125" style="31" bestFit="1" customWidth="1"/>
    <col min="13283" max="13283" width="11.85546875" style="31" bestFit="1" customWidth="1"/>
    <col min="13284" max="13284" width="15.42578125" style="31" bestFit="1" customWidth="1"/>
    <col min="13285" max="13285" width="9.42578125" style="31" bestFit="1" customWidth="1"/>
    <col min="13286" max="13286" width="15.42578125" style="31" bestFit="1" customWidth="1"/>
    <col min="13287" max="13287" width="9.42578125" style="31" bestFit="1" customWidth="1"/>
    <col min="13288" max="13531" width="9.140625" style="31"/>
    <col min="13532" max="13532" width="15.85546875" style="31" customWidth="1"/>
    <col min="13533" max="13533" width="57.5703125" style="31" customWidth="1"/>
    <col min="13534" max="13534" width="20.140625" style="31" customWidth="1"/>
    <col min="13535" max="13536" width="17.5703125" style="31" bestFit="1" customWidth="1"/>
    <col min="13537" max="13537" width="16.42578125" style="31" bestFit="1" customWidth="1"/>
    <col min="13538" max="13538" width="15.5703125" style="31" bestFit="1" customWidth="1"/>
    <col min="13539" max="13539" width="11.85546875" style="31" bestFit="1" customWidth="1"/>
    <col min="13540" max="13540" width="15.42578125" style="31" bestFit="1" customWidth="1"/>
    <col min="13541" max="13541" width="9.42578125" style="31" bestFit="1" customWidth="1"/>
    <col min="13542" max="13542" width="15.42578125" style="31" bestFit="1" customWidth="1"/>
    <col min="13543" max="13543" width="9.42578125" style="31" bestFit="1" customWidth="1"/>
    <col min="13544" max="13787" width="9.140625" style="31"/>
    <col min="13788" max="13788" width="15.85546875" style="31" customWidth="1"/>
    <col min="13789" max="13789" width="57.5703125" style="31" customWidth="1"/>
    <col min="13790" max="13790" width="20.140625" style="31" customWidth="1"/>
    <col min="13791" max="13792" width="17.5703125" style="31" bestFit="1" customWidth="1"/>
    <col min="13793" max="13793" width="16.42578125" style="31" bestFit="1" customWidth="1"/>
    <col min="13794" max="13794" width="15.5703125" style="31" bestFit="1" customWidth="1"/>
    <col min="13795" max="13795" width="11.85546875" style="31" bestFit="1" customWidth="1"/>
    <col min="13796" max="13796" width="15.42578125" style="31" bestFit="1" customWidth="1"/>
    <col min="13797" max="13797" width="9.42578125" style="31" bestFit="1" customWidth="1"/>
    <col min="13798" max="13798" width="15.42578125" style="31" bestFit="1" customWidth="1"/>
    <col min="13799" max="13799" width="9.42578125" style="31" bestFit="1" customWidth="1"/>
    <col min="13800" max="14043" width="9.140625" style="31"/>
    <col min="14044" max="14044" width="15.85546875" style="31" customWidth="1"/>
    <col min="14045" max="14045" width="57.5703125" style="31" customWidth="1"/>
    <col min="14046" max="14046" width="20.140625" style="31" customWidth="1"/>
    <col min="14047" max="14048" width="17.5703125" style="31" bestFit="1" customWidth="1"/>
    <col min="14049" max="14049" width="16.42578125" style="31" bestFit="1" customWidth="1"/>
    <col min="14050" max="14050" width="15.5703125" style="31" bestFit="1" customWidth="1"/>
    <col min="14051" max="14051" width="11.85546875" style="31" bestFit="1" customWidth="1"/>
    <col min="14052" max="14052" width="15.42578125" style="31" bestFit="1" customWidth="1"/>
    <col min="14053" max="14053" width="9.42578125" style="31" bestFit="1" customWidth="1"/>
    <col min="14054" max="14054" width="15.42578125" style="31" bestFit="1" customWidth="1"/>
    <col min="14055" max="14055" width="9.42578125" style="31" bestFit="1" customWidth="1"/>
    <col min="14056" max="14299" width="9.140625" style="31"/>
    <col min="14300" max="14300" width="15.85546875" style="31" customWidth="1"/>
    <col min="14301" max="14301" width="57.5703125" style="31" customWidth="1"/>
    <col min="14302" max="14302" width="20.140625" style="31" customWidth="1"/>
    <col min="14303" max="14304" width="17.5703125" style="31" bestFit="1" customWidth="1"/>
    <col min="14305" max="14305" width="16.42578125" style="31" bestFit="1" customWidth="1"/>
    <col min="14306" max="14306" width="15.5703125" style="31" bestFit="1" customWidth="1"/>
    <col min="14307" max="14307" width="11.85546875" style="31" bestFit="1" customWidth="1"/>
    <col min="14308" max="14308" width="15.42578125" style="31" bestFit="1" customWidth="1"/>
    <col min="14309" max="14309" width="9.42578125" style="31" bestFit="1" customWidth="1"/>
    <col min="14310" max="14310" width="15.42578125" style="31" bestFit="1" customWidth="1"/>
    <col min="14311" max="14311" width="9.42578125" style="31" bestFit="1" customWidth="1"/>
    <col min="14312" max="14555" width="9.140625" style="31"/>
    <col min="14556" max="14556" width="15.85546875" style="31" customWidth="1"/>
    <col min="14557" max="14557" width="57.5703125" style="31" customWidth="1"/>
    <col min="14558" max="14558" width="20.140625" style="31" customWidth="1"/>
    <col min="14559" max="14560" width="17.5703125" style="31" bestFit="1" customWidth="1"/>
    <col min="14561" max="14561" width="16.42578125" style="31" bestFit="1" customWidth="1"/>
    <col min="14562" max="14562" width="15.5703125" style="31" bestFit="1" customWidth="1"/>
    <col min="14563" max="14563" width="11.85546875" style="31" bestFit="1" customWidth="1"/>
    <col min="14564" max="14564" width="15.42578125" style="31" bestFit="1" customWidth="1"/>
    <col min="14565" max="14565" width="9.42578125" style="31" bestFit="1" customWidth="1"/>
    <col min="14566" max="14566" width="15.42578125" style="31" bestFit="1" customWidth="1"/>
    <col min="14567" max="14567" width="9.42578125" style="31" bestFit="1" customWidth="1"/>
    <col min="14568" max="14811" width="9.140625" style="31"/>
    <col min="14812" max="14812" width="15.85546875" style="31" customWidth="1"/>
    <col min="14813" max="14813" width="57.5703125" style="31" customWidth="1"/>
    <col min="14814" max="14814" width="20.140625" style="31" customWidth="1"/>
    <col min="14815" max="14816" width="17.5703125" style="31" bestFit="1" customWidth="1"/>
    <col min="14817" max="14817" width="16.42578125" style="31" bestFit="1" customWidth="1"/>
    <col min="14818" max="14818" width="15.5703125" style="31" bestFit="1" customWidth="1"/>
    <col min="14819" max="14819" width="11.85546875" style="31" bestFit="1" customWidth="1"/>
    <col min="14820" max="14820" width="15.42578125" style="31" bestFit="1" customWidth="1"/>
    <col min="14821" max="14821" width="9.42578125" style="31" bestFit="1" customWidth="1"/>
    <col min="14822" max="14822" width="15.42578125" style="31" bestFit="1" customWidth="1"/>
    <col min="14823" max="14823" width="9.42578125" style="31" bestFit="1" customWidth="1"/>
    <col min="14824" max="15067" width="9.140625" style="31"/>
    <col min="15068" max="15068" width="15.85546875" style="31" customWidth="1"/>
    <col min="15069" max="15069" width="57.5703125" style="31" customWidth="1"/>
    <col min="15070" max="15070" width="20.140625" style="31" customWidth="1"/>
    <col min="15071" max="15072" width="17.5703125" style="31" bestFit="1" customWidth="1"/>
    <col min="15073" max="15073" width="16.42578125" style="31" bestFit="1" customWidth="1"/>
    <col min="15074" max="15074" width="15.5703125" style="31" bestFit="1" customWidth="1"/>
    <col min="15075" max="15075" width="11.85546875" style="31" bestFit="1" customWidth="1"/>
    <col min="15076" max="15076" width="15.42578125" style="31" bestFit="1" customWidth="1"/>
    <col min="15077" max="15077" width="9.42578125" style="31" bestFit="1" customWidth="1"/>
    <col min="15078" max="15078" width="15.42578125" style="31" bestFit="1" customWidth="1"/>
    <col min="15079" max="15079" width="9.42578125" style="31" bestFit="1" customWidth="1"/>
    <col min="15080" max="15323" width="9.140625" style="31"/>
    <col min="15324" max="15324" width="15.85546875" style="31" customWidth="1"/>
    <col min="15325" max="15325" width="57.5703125" style="31" customWidth="1"/>
    <col min="15326" max="15326" width="20.140625" style="31" customWidth="1"/>
    <col min="15327" max="15328" width="17.5703125" style="31" bestFit="1" customWidth="1"/>
    <col min="15329" max="15329" width="16.42578125" style="31" bestFit="1" customWidth="1"/>
    <col min="15330" max="15330" width="15.5703125" style="31" bestFit="1" customWidth="1"/>
    <col min="15331" max="15331" width="11.85546875" style="31" bestFit="1" customWidth="1"/>
    <col min="15332" max="15332" width="15.42578125" style="31" bestFit="1" customWidth="1"/>
    <col min="15333" max="15333" width="9.42578125" style="31" bestFit="1" customWidth="1"/>
    <col min="15334" max="15334" width="15.42578125" style="31" bestFit="1" customWidth="1"/>
    <col min="15335" max="15335" width="9.42578125" style="31" bestFit="1" customWidth="1"/>
    <col min="15336" max="15579" width="9.140625" style="31"/>
    <col min="15580" max="15580" width="15.85546875" style="31" customWidth="1"/>
    <col min="15581" max="15581" width="57.5703125" style="31" customWidth="1"/>
    <col min="15582" max="15582" width="20.140625" style="31" customWidth="1"/>
    <col min="15583" max="15584" width="17.5703125" style="31" bestFit="1" customWidth="1"/>
    <col min="15585" max="15585" width="16.42578125" style="31" bestFit="1" customWidth="1"/>
    <col min="15586" max="15586" width="15.5703125" style="31" bestFit="1" customWidth="1"/>
    <col min="15587" max="15587" width="11.85546875" style="31" bestFit="1" customWidth="1"/>
    <col min="15588" max="15588" width="15.42578125" style="31" bestFit="1" customWidth="1"/>
    <col min="15589" max="15589" width="9.42578125" style="31" bestFit="1" customWidth="1"/>
    <col min="15590" max="15590" width="15.42578125" style="31" bestFit="1" customWidth="1"/>
    <col min="15591" max="15591" width="9.42578125" style="31" bestFit="1" customWidth="1"/>
    <col min="15592" max="15835" width="9.140625" style="31"/>
    <col min="15836" max="15836" width="15.85546875" style="31" customWidth="1"/>
    <col min="15837" max="15837" width="57.5703125" style="31" customWidth="1"/>
    <col min="15838" max="15838" width="20.140625" style="31" customWidth="1"/>
    <col min="15839" max="15840" width="17.5703125" style="31" bestFit="1" customWidth="1"/>
    <col min="15841" max="15841" width="16.42578125" style="31" bestFit="1" customWidth="1"/>
    <col min="15842" max="15842" width="15.5703125" style="31" bestFit="1" customWidth="1"/>
    <col min="15843" max="15843" width="11.85546875" style="31" bestFit="1" customWidth="1"/>
    <col min="15844" max="15844" width="15.42578125" style="31" bestFit="1" customWidth="1"/>
    <col min="15845" max="15845" width="9.42578125" style="31" bestFit="1" customWidth="1"/>
    <col min="15846" max="15846" width="15.42578125" style="31" bestFit="1" customWidth="1"/>
    <col min="15847" max="15847" width="9.42578125" style="31" bestFit="1" customWidth="1"/>
    <col min="15848" max="16091" width="9.140625" style="31"/>
    <col min="16092" max="16092" width="15.85546875" style="31" customWidth="1"/>
    <col min="16093" max="16093" width="57.5703125" style="31" customWidth="1"/>
    <col min="16094" max="16094" width="20.140625" style="31" customWidth="1"/>
    <col min="16095" max="16096" width="17.5703125" style="31" bestFit="1" customWidth="1"/>
    <col min="16097" max="16097" width="16.42578125" style="31" bestFit="1" customWidth="1"/>
    <col min="16098" max="16098" width="15.5703125" style="31" bestFit="1" customWidth="1"/>
    <col min="16099" max="16099" width="11.85546875" style="31" bestFit="1" customWidth="1"/>
    <col min="16100" max="16100" width="15.42578125" style="31" bestFit="1" customWidth="1"/>
    <col min="16101" max="16101" width="9.42578125" style="31" bestFit="1" customWidth="1"/>
    <col min="16102" max="16102" width="15.42578125" style="31" bestFit="1" customWidth="1"/>
    <col min="16103" max="16103" width="9.42578125" style="31" bestFit="1" customWidth="1"/>
    <col min="16104" max="16384" width="9.140625" style="31"/>
  </cols>
  <sheetData>
    <row r="1" spans="1:9" ht="15.75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37"/>
    </row>
    <row r="2" spans="1:9" ht="18" x14ac:dyDescent="0.2">
      <c r="A2" s="41"/>
      <c r="B2" s="41"/>
      <c r="C2" s="41"/>
      <c r="D2" s="41"/>
      <c r="E2" s="41"/>
      <c r="F2" s="41"/>
      <c r="G2" s="41"/>
      <c r="H2" s="161"/>
      <c r="I2" s="42"/>
    </row>
    <row r="3" spans="1:9" ht="15.75" customHeight="1" x14ac:dyDescent="0.2">
      <c r="A3" s="271" t="s">
        <v>23</v>
      </c>
      <c r="B3" s="271"/>
      <c r="C3" s="271"/>
      <c r="D3" s="271"/>
      <c r="E3" s="271"/>
      <c r="F3" s="271"/>
      <c r="G3" s="271"/>
      <c r="H3" s="271"/>
      <c r="I3" s="37"/>
    </row>
    <row r="4" spans="1:9" ht="18" x14ac:dyDescent="0.2">
      <c r="A4" s="41"/>
      <c r="B4" s="41"/>
      <c r="C4" s="41"/>
      <c r="D4" s="41"/>
      <c r="E4" s="41"/>
      <c r="F4" s="41"/>
      <c r="G4" s="41"/>
      <c r="H4" s="161"/>
      <c r="I4" s="42"/>
    </row>
    <row r="5" spans="1:9" ht="15.75" customHeight="1" x14ac:dyDescent="0.2">
      <c r="A5" s="271" t="s">
        <v>24</v>
      </c>
      <c r="B5" s="271"/>
      <c r="C5" s="271"/>
      <c r="D5" s="271"/>
      <c r="E5" s="271"/>
      <c r="F5" s="271"/>
      <c r="G5" s="271"/>
      <c r="H5" s="271"/>
      <c r="I5" s="37"/>
    </row>
    <row r="6" spans="1:9" ht="18" x14ac:dyDescent="0.2">
      <c r="A6" s="41"/>
      <c r="B6" s="41"/>
      <c r="C6" s="41"/>
      <c r="D6" s="41"/>
      <c r="E6" s="41"/>
      <c r="F6" s="41"/>
      <c r="G6" s="41"/>
      <c r="H6" s="161"/>
      <c r="I6" s="42"/>
    </row>
    <row r="7" spans="1:9" s="32" customFormat="1" ht="38.25" x14ac:dyDescent="0.25">
      <c r="A7" s="270" t="s">
        <v>3</v>
      </c>
      <c r="B7" s="270"/>
      <c r="C7" s="223" t="s">
        <v>556</v>
      </c>
      <c r="D7" s="224" t="s">
        <v>597</v>
      </c>
      <c r="E7" s="224" t="s">
        <v>598</v>
      </c>
      <c r="F7" s="223" t="s">
        <v>558</v>
      </c>
      <c r="G7" s="50" t="s">
        <v>260</v>
      </c>
      <c r="H7" s="148" t="s">
        <v>261</v>
      </c>
      <c r="I7" s="38"/>
    </row>
    <row r="8" spans="1:9" s="33" customFormat="1" x14ac:dyDescent="0.2">
      <c r="A8" s="269">
        <v>1</v>
      </c>
      <c r="B8" s="26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149">
        <v>7</v>
      </c>
      <c r="I8" s="39"/>
    </row>
    <row r="9" spans="1:9" ht="15" customHeight="1" x14ac:dyDescent="0.2">
      <c r="A9" s="115" t="s">
        <v>27</v>
      </c>
      <c r="B9" s="115" t="s">
        <v>26</v>
      </c>
      <c r="C9" s="118" t="s">
        <v>28</v>
      </c>
      <c r="D9" s="118" t="s">
        <v>28</v>
      </c>
      <c r="E9" s="118" t="s">
        <v>28</v>
      </c>
      <c r="F9" s="118" t="s">
        <v>28</v>
      </c>
      <c r="G9" s="118" t="s">
        <v>26</v>
      </c>
      <c r="H9" s="118" t="s">
        <v>26</v>
      </c>
      <c r="I9" s="133"/>
    </row>
    <row r="10" spans="1:9" s="33" customFormat="1" x14ac:dyDescent="0.2">
      <c r="A10" s="183"/>
      <c r="B10" s="185" t="s">
        <v>25</v>
      </c>
      <c r="C10" s="176">
        <f>+C11+C72</f>
        <v>5376817.9500000002</v>
      </c>
      <c r="D10" s="186">
        <f>+D11+D72</f>
        <v>12208893</v>
      </c>
      <c r="E10" s="186">
        <f>+E11+E72</f>
        <v>12208893</v>
      </c>
      <c r="F10" s="176">
        <f>+F11+F72</f>
        <v>5930106.3099999996</v>
      </c>
      <c r="G10" s="176">
        <f>+F10/C10*100</f>
        <v>110.29025652616711</v>
      </c>
      <c r="H10" s="176">
        <f>+F10/E10*100</f>
        <v>48.572022950811345</v>
      </c>
      <c r="I10" s="40"/>
    </row>
    <row r="11" spans="1:9" x14ac:dyDescent="0.2">
      <c r="A11" s="177" t="s">
        <v>30</v>
      </c>
      <c r="B11" s="178" t="s">
        <v>31</v>
      </c>
      <c r="C11" s="179">
        <f>+C12+C36+C47+C53+C60+C67</f>
        <v>5376817.9500000002</v>
      </c>
      <c r="D11" s="180">
        <f>+D12+D36+D47+D53+D60+D67</f>
        <v>12208893</v>
      </c>
      <c r="E11" s="180">
        <f>+E12+E36+E47+E53+E60+E67</f>
        <v>12208893</v>
      </c>
      <c r="F11" s="179">
        <f>+F12+F36+F47+F53+F60+F67</f>
        <v>5930106.3099999996</v>
      </c>
      <c r="G11" s="181">
        <f>+F11/C11*100</f>
        <v>110.29025652616711</v>
      </c>
      <c r="H11" s="181">
        <f>+F11/E11*100</f>
        <v>48.572022950811345</v>
      </c>
      <c r="I11" s="151"/>
    </row>
    <row r="12" spans="1:9" x14ac:dyDescent="0.2">
      <c r="A12" s="165" t="s">
        <v>33</v>
      </c>
      <c r="B12" s="166" t="s">
        <v>34</v>
      </c>
      <c r="C12" s="162">
        <f>+C13+C15+C22+C25+C28+C31+C20</f>
        <v>315554.48</v>
      </c>
      <c r="D12" s="147">
        <v>290374</v>
      </c>
      <c r="E12" s="147">
        <v>290374</v>
      </c>
      <c r="F12" s="162">
        <f>+F13+F15+F22+F25+F28+F31+F20</f>
        <v>422009.42</v>
      </c>
      <c r="G12" s="162">
        <f>+F12/C12*100</f>
        <v>133.73583540946717</v>
      </c>
      <c r="H12" s="162">
        <f>+F12/E12*100</f>
        <v>145.33306012246274</v>
      </c>
      <c r="I12" s="153"/>
    </row>
    <row r="13" spans="1:9" x14ac:dyDescent="0.2">
      <c r="A13" s="163" t="s">
        <v>262</v>
      </c>
      <c r="B13" s="164" t="s">
        <v>263</v>
      </c>
      <c r="C13" s="162">
        <f>+C14</f>
        <v>3000</v>
      </c>
      <c r="D13" s="160"/>
      <c r="E13" s="160"/>
      <c r="F13" s="162">
        <f>+F14</f>
        <v>0</v>
      </c>
      <c r="G13" s="162"/>
      <c r="H13" s="217"/>
      <c r="I13" s="153"/>
    </row>
    <row r="14" spans="1:9" x14ac:dyDescent="0.2">
      <c r="A14" s="49" t="s">
        <v>264</v>
      </c>
      <c r="B14" s="47" t="s">
        <v>265</v>
      </c>
      <c r="C14" s="206">
        <v>3000</v>
      </c>
      <c r="D14" s="159"/>
      <c r="E14" s="159"/>
      <c r="F14" s="43">
        <v>0</v>
      </c>
      <c r="G14" s="158"/>
      <c r="H14" s="217"/>
      <c r="I14" s="45"/>
    </row>
    <row r="15" spans="1:9" x14ac:dyDescent="0.2">
      <c r="A15" s="163" t="s">
        <v>35</v>
      </c>
      <c r="B15" s="164" t="s">
        <v>36</v>
      </c>
      <c r="C15" s="213">
        <f>SUM(C16:C19)</f>
        <v>154239.9</v>
      </c>
      <c r="D15" s="160"/>
      <c r="E15" s="160"/>
      <c r="F15" s="162">
        <f>SUM(F16:F19)</f>
        <v>154112.13999999998</v>
      </c>
      <c r="G15" s="162"/>
      <c r="H15" s="217"/>
      <c r="I15" s="153"/>
    </row>
    <row r="16" spans="1:9" x14ac:dyDescent="0.2">
      <c r="A16" s="49" t="s">
        <v>266</v>
      </c>
      <c r="B16" s="47" t="s">
        <v>267</v>
      </c>
      <c r="C16" s="206">
        <v>154239.9</v>
      </c>
      <c r="D16" s="159"/>
      <c r="E16" s="159"/>
      <c r="F16" s="43">
        <v>30234.959999999999</v>
      </c>
      <c r="G16" s="158"/>
      <c r="H16" s="217"/>
      <c r="I16" s="45"/>
    </row>
    <row r="17" spans="1:9" x14ac:dyDescent="0.2">
      <c r="A17" s="49" t="s">
        <v>268</v>
      </c>
      <c r="B17" s="47" t="s">
        <v>269</v>
      </c>
      <c r="C17" s="212"/>
      <c r="D17" s="159"/>
      <c r="E17" s="159"/>
      <c r="F17" s="48"/>
      <c r="G17" s="157"/>
      <c r="H17" s="217"/>
      <c r="I17" s="45"/>
    </row>
    <row r="18" spans="1:9" x14ac:dyDescent="0.2">
      <c r="A18" s="49" t="s">
        <v>37</v>
      </c>
      <c r="B18" s="47" t="s">
        <v>38</v>
      </c>
      <c r="C18" s="206"/>
      <c r="D18" s="159"/>
      <c r="E18" s="159"/>
      <c r="F18" s="43">
        <v>123877.18</v>
      </c>
      <c r="G18" s="158"/>
      <c r="H18" s="217"/>
      <c r="I18" s="45"/>
    </row>
    <row r="19" spans="1:9" x14ac:dyDescent="0.2">
      <c r="A19" s="49" t="s">
        <v>39</v>
      </c>
      <c r="B19" s="47" t="s">
        <v>40</v>
      </c>
      <c r="C19" s="211"/>
      <c r="D19" s="159"/>
      <c r="E19" s="159"/>
      <c r="F19" s="43"/>
      <c r="G19" s="158"/>
      <c r="H19" s="217"/>
      <c r="I19" s="45"/>
    </row>
    <row r="20" spans="1:9" x14ac:dyDescent="0.2">
      <c r="A20" s="163">
        <v>633</v>
      </c>
      <c r="B20" s="154" t="s">
        <v>554</v>
      </c>
      <c r="C20" s="213">
        <f>+C21</f>
        <v>0</v>
      </c>
      <c r="D20" s="159"/>
      <c r="E20" s="159"/>
      <c r="F20" s="162">
        <f>+F21</f>
        <v>0</v>
      </c>
      <c r="G20" s="158"/>
      <c r="H20" s="217"/>
      <c r="I20" s="140"/>
    </row>
    <row r="21" spans="1:9" ht="25.5" x14ac:dyDescent="0.2">
      <c r="A21" s="155">
        <v>6331</v>
      </c>
      <c r="B21" s="154" t="s">
        <v>555</v>
      </c>
      <c r="C21" s="211"/>
      <c r="D21" s="159"/>
      <c r="E21" s="159"/>
      <c r="F21" s="158"/>
      <c r="G21" s="158"/>
      <c r="H21" s="217"/>
      <c r="I21" s="140"/>
    </row>
    <row r="22" spans="1:9" x14ac:dyDescent="0.2">
      <c r="A22" s="163" t="s">
        <v>270</v>
      </c>
      <c r="B22" s="164" t="s">
        <v>271</v>
      </c>
      <c r="C22" s="213"/>
      <c r="D22" s="160"/>
      <c r="E22" s="160"/>
      <c r="F22" s="162"/>
      <c r="G22" s="162"/>
      <c r="H22" s="217"/>
      <c r="I22" s="153"/>
    </row>
    <row r="23" spans="1:9" x14ac:dyDescent="0.2">
      <c r="A23" s="49" t="s">
        <v>272</v>
      </c>
      <c r="B23" s="47" t="s">
        <v>273</v>
      </c>
      <c r="C23" s="211"/>
      <c r="D23" s="159"/>
      <c r="E23" s="159"/>
      <c r="F23" s="43"/>
      <c r="G23" s="158"/>
      <c r="H23" s="217"/>
      <c r="I23" s="45"/>
    </row>
    <row r="24" spans="1:9" x14ac:dyDescent="0.2">
      <c r="A24" s="49" t="s">
        <v>274</v>
      </c>
      <c r="B24" s="47" t="s">
        <v>275</v>
      </c>
      <c r="C24" s="212"/>
      <c r="D24" s="159"/>
      <c r="E24" s="159"/>
      <c r="F24" s="48"/>
      <c r="G24" s="157"/>
      <c r="H24" s="217"/>
      <c r="I24" s="45"/>
    </row>
    <row r="25" spans="1:9" x14ac:dyDescent="0.2">
      <c r="A25" s="163" t="s">
        <v>276</v>
      </c>
      <c r="B25" s="164" t="s">
        <v>277</v>
      </c>
      <c r="C25" s="213">
        <f>+C26+C27</f>
        <v>11260</v>
      </c>
      <c r="D25" s="160"/>
      <c r="E25" s="160"/>
      <c r="F25" s="162">
        <f>+F26+F27</f>
        <v>13200</v>
      </c>
      <c r="G25" s="162"/>
      <c r="H25" s="217"/>
      <c r="I25" s="153"/>
    </row>
    <row r="26" spans="1:9" ht="25.5" x14ac:dyDescent="0.2">
      <c r="A26" s="49" t="s">
        <v>278</v>
      </c>
      <c r="B26" s="47" t="s">
        <v>279</v>
      </c>
      <c r="C26" s="206">
        <v>11260</v>
      </c>
      <c r="D26" s="159"/>
      <c r="E26" s="159"/>
      <c r="F26" s="43">
        <v>13200</v>
      </c>
      <c r="G26" s="158"/>
      <c r="H26" s="217"/>
      <c r="I26" s="45"/>
    </row>
    <row r="27" spans="1:9" ht="25.5" x14ac:dyDescent="0.2">
      <c r="A27" s="49" t="s">
        <v>280</v>
      </c>
      <c r="B27" s="47" t="s">
        <v>281</v>
      </c>
      <c r="C27" s="211"/>
      <c r="D27" s="159"/>
      <c r="E27" s="159"/>
      <c r="F27" s="43"/>
      <c r="G27" s="158"/>
      <c r="H27" s="217"/>
      <c r="I27" s="45"/>
    </row>
    <row r="28" spans="1:9" x14ac:dyDescent="0.2">
      <c r="A28" s="163" t="s">
        <v>282</v>
      </c>
      <c r="B28" s="164" t="s">
        <v>283</v>
      </c>
      <c r="C28" s="213">
        <f>+C29+C30</f>
        <v>0</v>
      </c>
      <c r="D28" s="160"/>
      <c r="E28" s="160"/>
      <c r="F28" s="162"/>
      <c r="G28" s="162"/>
      <c r="H28" s="217"/>
      <c r="I28" s="153"/>
    </row>
    <row r="29" spans="1:9" x14ac:dyDescent="0.2">
      <c r="A29" s="49" t="s">
        <v>284</v>
      </c>
      <c r="B29" s="47" t="s">
        <v>285</v>
      </c>
      <c r="C29" s="211"/>
      <c r="D29" s="159"/>
      <c r="E29" s="159"/>
      <c r="F29" s="43"/>
      <c r="G29" s="158"/>
      <c r="H29" s="217"/>
      <c r="I29" s="45"/>
    </row>
    <row r="30" spans="1:9" ht="25.5" x14ac:dyDescent="0.2">
      <c r="A30" s="49" t="s">
        <v>286</v>
      </c>
      <c r="B30" s="47" t="s">
        <v>287</v>
      </c>
      <c r="C30" s="211"/>
      <c r="D30" s="159"/>
      <c r="E30" s="159"/>
      <c r="F30" s="43"/>
      <c r="G30" s="158"/>
      <c r="H30" s="217"/>
      <c r="I30" s="45"/>
    </row>
    <row r="31" spans="1:9" x14ac:dyDescent="0.2">
      <c r="A31" s="163" t="s">
        <v>288</v>
      </c>
      <c r="B31" s="164" t="s">
        <v>196</v>
      </c>
      <c r="C31" s="213">
        <f>SUM(C32:C35)</f>
        <v>147054.57999999999</v>
      </c>
      <c r="D31" s="160"/>
      <c r="E31" s="160"/>
      <c r="F31" s="162">
        <f>SUM(F32:F35)</f>
        <v>254697.28</v>
      </c>
      <c r="G31" s="162"/>
      <c r="H31" s="217"/>
      <c r="I31" s="153"/>
    </row>
    <row r="32" spans="1:9" x14ac:dyDescent="0.2">
      <c r="A32" s="49" t="s">
        <v>289</v>
      </c>
      <c r="B32" s="47" t="s">
        <v>198</v>
      </c>
      <c r="C32" s="206">
        <v>147054.57999999999</v>
      </c>
      <c r="D32" s="160"/>
      <c r="E32" s="160"/>
      <c r="F32" s="43">
        <v>254697.28</v>
      </c>
      <c r="G32" s="158"/>
      <c r="H32" s="217"/>
      <c r="I32" s="46"/>
    </row>
    <row r="33" spans="1:9" x14ac:dyDescent="0.2">
      <c r="A33" s="49" t="s">
        <v>290</v>
      </c>
      <c r="B33" s="47" t="s">
        <v>200</v>
      </c>
      <c r="C33" s="211"/>
      <c r="D33" s="160"/>
      <c r="E33" s="160"/>
      <c r="F33" s="43"/>
      <c r="G33" s="158"/>
      <c r="H33" s="217"/>
      <c r="I33" s="46"/>
    </row>
    <row r="34" spans="1:9" ht="25.5" x14ac:dyDescent="0.2">
      <c r="A34" s="49" t="s">
        <v>291</v>
      </c>
      <c r="B34" s="47" t="s">
        <v>292</v>
      </c>
      <c r="C34" s="211"/>
      <c r="D34" s="160"/>
      <c r="E34" s="160"/>
      <c r="F34" s="43"/>
      <c r="G34" s="158"/>
      <c r="H34" s="217"/>
      <c r="I34" s="46"/>
    </row>
    <row r="35" spans="1:9" ht="25.5" x14ac:dyDescent="0.2">
      <c r="A35" s="49" t="s">
        <v>293</v>
      </c>
      <c r="B35" s="47" t="s">
        <v>202</v>
      </c>
      <c r="C35" s="211"/>
      <c r="D35" s="160"/>
      <c r="E35" s="160"/>
      <c r="F35" s="43"/>
      <c r="G35" s="158"/>
      <c r="H35" s="217"/>
      <c r="I35" s="46"/>
    </row>
    <row r="36" spans="1:9" x14ac:dyDescent="0.2">
      <c r="A36" s="165" t="s">
        <v>41</v>
      </c>
      <c r="B36" s="166" t="s">
        <v>42</v>
      </c>
      <c r="C36" s="213">
        <f>+C37+C44</f>
        <v>2536.25</v>
      </c>
      <c r="D36" s="147"/>
      <c r="E36" s="147"/>
      <c r="F36" s="162">
        <f>+F37+F44</f>
        <v>8090.41</v>
      </c>
      <c r="G36" s="162">
        <f>+F36/C36*100</f>
        <v>318.99103006407097</v>
      </c>
      <c r="H36" s="217"/>
      <c r="I36" s="153"/>
    </row>
    <row r="37" spans="1:9" x14ac:dyDescent="0.2">
      <c r="A37" s="163" t="s">
        <v>43</v>
      </c>
      <c r="B37" s="164" t="s">
        <v>44</v>
      </c>
      <c r="C37" s="213">
        <f>SUM(C38:C43)</f>
        <v>2536.25</v>
      </c>
      <c r="D37" s="160"/>
      <c r="E37" s="160"/>
      <c r="F37" s="162">
        <f>+F40</f>
        <v>8090.41</v>
      </c>
      <c r="G37" s="162"/>
      <c r="H37" s="217"/>
      <c r="I37" s="153"/>
    </row>
    <row r="38" spans="1:9" x14ac:dyDescent="0.2">
      <c r="A38" s="49" t="s">
        <v>294</v>
      </c>
      <c r="B38" s="47" t="s">
        <v>295</v>
      </c>
      <c r="C38" s="211"/>
      <c r="D38" s="160"/>
      <c r="E38" s="160"/>
      <c r="F38" s="43"/>
      <c r="G38" s="158"/>
      <c r="H38" s="217"/>
      <c r="I38" s="46"/>
    </row>
    <row r="39" spans="1:9" x14ac:dyDescent="0.2">
      <c r="A39" s="49" t="s">
        <v>296</v>
      </c>
      <c r="B39" s="47" t="s">
        <v>297</v>
      </c>
      <c r="C39" s="211"/>
      <c r="D39" s="160"/>
      <c r="E39" s="160"/>
      <c r="F39" s="43"/>
      <c r="G39" s="158"/>
      <c r="H39" s="217"/>
      <c r="I39" s="46"/>
    </row>
    <row r="40" spans="1:9" ht="25.5" x14ac:dyDescent="0.2">
      <c r="A40" s="49" t="s">
        <v>298</v>
      </c>
      <c r="B40" s="47" t="s">
        <v>299</v>
      </c>
      <c r="C40" s="211">
        <v>2536.25</v>
      </c>
      <c r="D40" s="160"/>
      <c r="E40" s="160"/>
      <c r="F40" s="43">
        <v>8090.41</v>
      </c>
      <c r="G40" s="158"/>
      <c r="H40" s="217"/>
      <c r="I40" s="46"/>
    </row>
    <row r="41" spans="1:9" x14ac:dyDescent="0.2">
      <c r="A41" s="49" t="s">
        <v>300</v>
      </c>
      <c r="B41" s="47" t="s">
        <v>301</v>
      </c>
      <c r="C41" s="211"/>
      <c r="D41" s="160"/>
      <c r="E41" s="160"/>
      <c r="F41" s="43"/>
      <c r="G41" s="158"/>
      <c r="H41" s="217"/>
      <c r="I41" s="46"/>
    </row>
    <row r="42" spans="1:9" ht="25.5" x14ac:dyDescent="0.2">
      <c r="A42" s="49" t="s">
        <v>45</v>
      </c>
      <c r="B42" s="47" t="s">
        <v>46</v>
      </c>
      <c r="C42" s="211"/>
      <c r="D42" s="160"/>
      <c r="E42" s="160"/>
      <c r="F42" s="43"/>
      <c r="G42" s="158"/>
      <c r="H42" s="217"/>
      <c r="I42" s="46"/>
    </row>
    <row r="43" spans="1:9" x14ac:dyDescent="0.2">
      <c r="A43" s="49" t="s">
        <v>302</v>
      </c>
      <c r="B43" s="47" t="s">
        <v>303</v>
      </c>
      <c r="C43" s="211"/>
      <c r="D43" s="160"/>
      <c r="E43" s="160"/>
      <c r="F43" s="43"/>
      <c r="G43" s="158"/>
      <c r="H43" s="217"/>
      <c r="I43" s="46"/>
    </row>
    <row r="44" spans="1:9" x14ac:dyDescent="0.2">
      <c r="A44" s="163" t="s">
        <v>304</v>
      </c>
      <c r="B44" s="164" t="s">
        <v>305</v>
      </c>
      <c r="C44" s="213"/>
      <c r="D44" s="160"/>
      <c r="E44" s="160"/>
      <c r="F44" s="162"/>
      <c r="G44" s="162"/>
      <c r="H44" s="217"/>
      <c r="I44" s="153"/>
    </row>
    <row r="45" spans="1:9" x14ac:dyDescent="0.2">
      <c r="A45" s="49" t="s">
        <v>306</v>
      </c>
      <c r="B45" s="47" t="s">
        <v>307</v>
      </c>
      <c r="C45" s="211"/>
      <c r="D45" s="160"/>
      <c r="E45" s="160"/>
      <c r="F45" s="43"/>
      <c r="G45" s="158"/>
      <c r="H45" s="217"/>
      <c r="I45" s="46"/>
    </row>
    <row r="46" spans="1:9" x14ac:dyDescent="0.2">
      <c r="A46" s="49" t="s">
        <v>308</v>
      </c>
      <c r="B46" s="47" t="s">
        <v>309</v>
      </c>
      <c r="C46" s="211"/>
      <c r="D46" s="160"/>
      <c r="E46" s="160"/>
      <c r="F46" s="43"/>
      <c r="G46" s="158"/>
      <c r="H46" s="217"/>
      <c r="I46" s="46"/>
    </row>
    <row r="47" spans="1:9" ht="25.5" x14ac:dyDescent="0.2">
      <c r="A47" s="165" t="s">
        <v>47</v>
      </c>
      <c r="B47" s="166" t="s">
        <v>48</v>
      </c>
      <c r="C47" s="213">
        <f>+C48+C50</f>
        <v>135905.38</v>
      </c>
      <c r="D47" s="147">
        <v>400000</v>
      </c>
      <c r="E47" s="147">
        <v>400000</v>
      </c>
      <c r="F47" s="162">
        <f>+F48+F50</f>
        <v>187807.91999999998</v>
      </c>
      <c r="G47" s="162">
        <f>+F47/C47*100</f>
        <v>138.19020262479674</v>
      </c>
      <c r="H47" s="217">
        <f t="shared" ref="H47:H60" si="0">+F47/E47*100</f>
        <v>46.951979999999992</v>
      </c>
      <c r="I47" s="153"/>
    </row>
    <row r="48" spans="1:9" x14ac:dyDescent="0.2">
      <c r="A48" s="163" t="s">
        <v>310</v>
      </c>
      <c r="B48" s="164" t="s">
        <v>311</v>
      </c>
      <c r="C48" s="213"/>
      <c r="D48" s="160"/>
      <c r="E48" s="160"/>
      <c r="F48" s="162"/>
      <c r="G48" s="162"/>
      <c r="H48" s="217"/>
      <c r="I48" s="153"/>
    </row>
    <row r="49" spans="1:9" x14ac:dyDescent="0.2">
      <c r="A49" s="49" t="s">
        <v>312</v>
      </c>
      <c r="B49" s="47" t="s">
        <v>313</v>
      </c>
      <c r="C49" s="211"/>
      <c r="D49" s="160"/>
      <c r="E49" s="160"/>
      <c r="F49" s="43"/>
      <c r="G49" s="158"/>
      <c r="H49" s="217"/>
      <c r="I49" s="46"/>
    </row>
    <row r="50" spans="1:9" x14ac:dyDescent="0.2">
      <c r="A50" s="163" t="s">
        <v>49</v>
      </c>
      <c r="B50" s="164" t="s">
        <v>50</v>
      </c>
      <c r="C50" s="213">
        <f>+C51+C52</f>
        <v>135905.38</v>
      </c>
      <c r="D50" s="160"/>
      <c r="E50" s="160"/>
      <c r="F50" s="162">
        <f>+F51+F52</f>
        <v>187807.91999999998</v>
      </c>
      <c r="G50" s="162"/>
      <c r="H50" s="217"/>
      <c r="I50" s="153"/>
    </row>
    <row r="51" spans="1:9" x14ac:dyDescent="0.2">
      <c r="A51" s="49" t="s">
        <v>314</v>
      </c>
      <c r="B51" s="47" t="s">
        <v>315</v>
      </c>
      <c r="C51" s="211"/>
      <c r="D51" s="160"/>
      <c r="E51" s="160"/>
      <c r="F51" s="43"/>
      <c r="G51" s="158"/>
      <c r="H51" s="217"/>
      <c r="I51" s="46"/>
    </row>
    <row r="52" spans="1:9" x14ac:dyDescent="0.2">
      <c r="A52" s="49" t="s">
        <v>51</v>
      </c>
      <c r="B52" s="47" t="s">
        <v>52</v>
      </c>
      <c r="C52" s="206">
        <v>135905.38</v>
      </c>
      <c r="D52" s="160"/>
      <c r="E52" s="160"/>
      <c r="F52" s="210">
        <f>183336.01+4058.33+413.58</f>
        <v>187807.91999999998</v>
      </c>
      <c r="G52" s="158"/>
      <c r="H52" s="217"/>
      <c r="I52" s="46"/>
    </row>
    <row r="53" spans="1:9" ht="25.5" x14ac:dyDescent="0.2">
      <c r="A53" s="165" t="s">
        <v>316</v>
      </c>
      <c r="B53" s="166" t="s">
        <v>317</v>
      </c>
      <c r="C53" s="213">
        <f>+C54+C57</f>
        <v>15957.98</v>
      </c>
      <c r="D53" s="147">
        <v>50000</v>
      </c>
      <c r="E53" s="147">
        <v>50000</v>
      </c>
      <c r="F53" s="162">
        <f>+F54+F57</f>
        <v>19059.93</v>
      </c>
      <c r="G53" s="162">
        <f>+F53/C53*100</f>
        <v>119.43823717036868</v>
      </c>
      <c r="H53" s="217">
        <f t="shared" si="0"/>
        <v>38.119860000000003</v>
      </c>
      <c r="I53" s="153"/>
    </row>
    <row r="54" spans="1:9" x14ac:dyDescent="0.2">
      <c r="A54" s="163" t="s">
        <v>318</v>
      </c>
      <c r="B54" s="164" t="s">
        <v>319</v>
      </c>
      <c r="C54" s="213">
        <f>+C55+C56</f>
        <v>15957.98</v>
      </c>
      <c r="D54" s="160"/>
      <c r="E54" s="160"/>
      <c r="F54" s="162">
        <f>+F55+F56</f>
        <v>9992.66</v>
      </c>
      <c r="G54" s="162"/>
      <c r="H54" s="217"/>
      <c r="I54" s="153"/>
    </row>
    <row r="55" spans="1:9" x14ac:dyDescent="0.2">
      <c r="A55" s="49" t="s">
        <v>320</v>
      </c>
      <c r="B55" s="47" t="s">
        <v>321</v>
      </c>
      <c r="C55" s="211"/>
      <c r="D55" s="160"/>
      <c r="E55" s="160"/>
      <c r="F55" s="43"/>
      <c r="G55" s="158"/>
      <c r="H55" s="217"/>
      <c r="I55" s="46"/>
    </row>
    <row r="56" spans="1:9" x14ac:dyDescent="0.2">
      <c r="A56" s="49" t="s">
        <v>322</v>
      </c>
      <c r="B56" s="47" t="s">
        <v>323</v>
      </c>
      <c r="C56" s="206">
        <v>15957.98</v>
      </c>
      <c r="D56" s="160"/>
      <c r="E56" s="160"/>
      <c r="F56" s="43">
        <v>9992.66</v>
      </c>
      <c r="G56" s="158"/>
      <c r="H56" s="217"/>
      <c r="I56" s="46"/>
    </row>
    <row r="57" spans="1:9" x14ac:dyDescent="0.2">
      <c r="A57" s="163" t="s">
        <v>324</v>
      </c>
      <c r="B57" s="164" t="s">
        <v>325</v>
      </c>
      <c r="C57" s="213"/>
      <c r="D57" s="160"/>
      <c r="E57" s="160"/>
      <c r="F57" s="162">
        <f>+F58+F59</f>
        <v>9067.27</v>
      </c>
      <c r="G57" s="162"/>
      <c r="H57" s="217"/>
      <c r="I57" s="153"/>
    </row>
    <row r="58" spans="1:9" x14ac:dyDescent="0.2">
      <c r="A58" s="49" t="s">
        <v>326</v>
      </c>
      <c r="B58" s="47" t="s">
        <v>212</v>
      </c>
      <c r="C58" s="211"/>
      <c r="D58" s="160"/>
      <c r="E58" s="160"/>
      <c r="F58" s="43">
        <v>9067.27</v>
      </c>
      <c r="G58" s="158"/>
      <c r="H58" s="217"/>
      <c r="I58" s="46"/>
    </row>
    <row r="59" spans="1:9" x14ac:dyDescent="0.2">
      <c r="A59" s="49" t="s">
        <v>327</v>
      </c>
      <c r="B59" s="47" t="s">
        <v>218</v>
      </c>
      <c r="C59" s="211"/>
      <c r="D59" s="160"/>
      <c r="E59" s="160"/>
      <c r="F59" s="43"/>
      <c r="G59" s="158"/>
      <c r="H59" s="217"/>
      <c r="I59" s="46"/>
    </row>
    <row r="60" spans="1:9" x14ac:dyDescent="0.2">
      <c r="A60" s="165">
        <v>67</v>
      </c>
      <c r="B60" s="166" t="s">
        <v>532</v>
      </c>
      <c r="C60" s="213">
        <f>+C61+C65</f>
        <v>4906863.8600000003</v>
      </c>
      <c r="D60" s="147">
        <v>11468519</v>
      </c>
      <c r="E60" s="147">
        <v>11468519</v>
      </c>
      <c r="F60" s="162">
        <f>+F61+F65</f>
        <v>5293138.63</v>
      </c>
      <c r="G60" s="162">
        <f>+F60/C60*100</f>
        <v>107.87213138617626</v>
      </c>
      <c r="H60" s="217">
        <f t="shared" si="0"/>
        <v>46.153637012765117</v>
      </c>
      <c r="I60" s="153"/>
    </row>
    <row r="61" spans="1:9" x14ac:dyDescent="0.2">
      <c r="A61" s="163">
        <v>671</v>
      </c>
      <c r="B61" s="164" t="s">
        <v>532</v>
      </c>
      <c r="C61" s="213">
        <f>+C62+C63+C64</f>
        <v>4906863.8600000003</v>
      </c>
      <c r="D61" s="160"/>
      <c r="E61" s="160"/>
      <c r="F61" s="162">
        <f>+F62+F63+F64</f>
        <v>5293138.63</v>
      </c>
      <c r="G61" s="162"/>
      <c r="H61" s="217"/>
      <c r="I61" s="153"/>
    </row>
    <row r="62" spans="1:9" s="204" customFormat="1" x14ac:dyDescent="0.2">
      <c r="A62" s="155">
        <v>6711</v>
      </c>
      <c r="B62" s="154" t="s">
        <v>550</v>
      </c>
      <c r="C62" s="206">
        <v>4906863.8600000003</v>
      </c>
      <c r="D62" s="203"/>
      <c r="E62" s="203"/>
      <c r="F62" s="202">
        <v>5293138.63</v>
      </c>
      <c r="G62" s="202"/>
      <c r="H62" s="217"/>
      <c r="I62" s="153"/>
    </row>
    <row r="63" spans="1:9" s="204" customFormat="1" ht="25.5" x14ac:dyDescent="0.2">
      <c r="A63" s="155">
        <v>6712</v>
      </c>
      <c r="B63" s="154" t="s">
        <v>551</v>
      </c>
      <c r="C63" s="202"/>
      <c r="D63" s="203"/>
      <c r="E63" s="203"/>
      <c r="F63" s="202"/>
      <c r="G63" s="202"/>
      <c r="H63" s="217"/>
      <c r="I63" s="153"/>
    </row>
    <row r="64" spans="1:9" s="204" customFormat="1" ht="25.5" x14ac:dyDescent="0.2">
      <c r="A64" s="155">
        <v>6714</v>
      </c>
      <c r="B64" s="154" t="s">
        <v>552</v>
      </c>
      <c r="C64" s="202"/>
      <c r="D64" s="203"/>
      <c r="E64" s="203"/>
      <c r="F64" s="202"/>
      <c r="G64" s="202"/>
      <c r="H64" s="217"/>
      <c r="I64" s="153"/>
    </row>
    <row r="65" spans="1:9" x14ac:dyDescent="0.2">
      <c r="A65" s="163">
        <v>673</v>
      </c>
      <c r="B65" s="164" t="s">
        <v>540</v>
      </c>
      <c r="C65" s="213"/>
      <c r="D65" s="160"/>
      <c r="E65" s="160"/>
      <c r="F65" s="162"/>
      <c r="G65" s="162"/>
      <c r="H65" s="217"/>
      <c r="I65" s="153"/>
    </row>
    <row r="66" spans="1:9" x14ac:dyDescent="0.2">
      <c r="A66" s="155">
        <v>6731</v>
      </c>
      <c r="B66" s="154" t="s">
        <v>540</v>
      </c>
      <c r="C66" s="211"/>
      <c r="D66" s="160"/>
      <c r="E66" s="160"/>
      <c r="F66" s="158"/>
      <c r="G66" s="158"/>
      <c r="H66" s="217"/>
      <c r="I66" s="153"/>
    </row>
    <row r="67" spans="1:9" x14ac:dyDescent="0.2">
      <c r="A67" s="165" t="s">
        <v>328</v>
      </c>
      <c r="B67" s="166" t="s">
        <v>329</v>
      </c>
      <c r="C67" s="213">
        <f>+C68+C70</f>
        <v>0</v>
      </c>
      <c r="D67" s="147"/>
      <c r="E67" s="147"/>
      <c r="F67" s="162"/>
      <c r="G67" s="162"/>
      <c r="H67" s="217"/>
      <c r="I67" s="153"/>
    </row>
    <row r="68" spans="1:9" x14ac:dyDescent="0.2">
      <c r="A68" s="163" t="s">
        <v>330</v>
      </c>
      <c r="B68" s="164" t="s">
        <v>331</v>
      </c>
      <c r="C68" s="213"/>
      <c r="D68" s="160"/>
      <c r="E68" s="160"/>
      <c r="F68" s="162"/>
      <c r="G68" s="162"/>
      <c r="H68" s="217"/>
      <c r="I68" s="153"/>
    </row>
    <row r="69" spans="1:9" x14ac:dyDescent="0.2">
      <c r="A69" s="49" t="s">
        <v>332</v>
      </c>
      <c r="B69" s="47" t="s">
        <v>333</v>
      </c>
      <c r="C69" s="211"/>
      <c r="D69" s="160"/>
      <c r="E69" s="160"/>
      <c r="F69" s="43"/>
      <c r="G69" s="158"/>
      <c r="H69" s="217"/>
      <c r="I69" s="46"/>
    </row>
    <row r="70" spans="1:9" x14ac:dyDescent="0.2">
      <c r="A70" s="163" t="s">
        <v>334</v>
      </c>
      <c r="B70" s="164" t="s">
        <v>335</v>
      </c>
      <c r="C70" s="213">
        <f>+C71</f>
        <v>0</v>
      </c>
      <c r="D70" s="160"/>
      <c r="E70" s="160"/>
      <c r="F70" s="162"/>
      <c r="G70" s="162"/>
      <c r="H70" s="217"/>
      <c r="I70" s="153"/>
    </row>
    <row r="71" spans="1:9" x14ac:dyDescent="0.2">
      <c r="A71" s="49" t="s">
        <v>336</v>
      </c>
      <c r="B71" s="47" t="s">
        <v>335</v>
      </c>
      <c r="C71" s="158"/>
      <c r="D71" s="160"/>
      <c r="E71" s="160"/>
      <c r="F71" s="43"/>
      <c r="G71" s="158"/>
      <c r="H71" s="217"/>
      <c r="I71" s="46"/>
    </row>
    <row r="72" spans="1:9" x14ac:dyDescent="0.2">
      <c r="A72" s="177" t="s">
        <v>337</v>
      </c>
      <c r="B72" s="178" t="s">
        <v>338</v>
      </c>
      <c r="C72" s="179">
        <f>+C73+C78</f>
        <v>0</v>
      </c>
      <c r="D72" s="180"/>
      <c r="E72" s="180"/>
      <c r="F72" s="179"/>
      <c r="G72" s="181"/>
      <c r="H72" s="217"/>
      <c r="I72" s="151"/>
    </row>
    <row r="73" spans="1:9" x14ac:dyDescent="0.2">
      <c r="A73" s="165" t="s">
        <v>339</v>
      </c>
      <c r="B73" s="166" t="s">
        <v>340</v>
      </c>
      <c r="C73" s="162">
        <f>+C74+C76</f>
        <v>0</v>
      </c>
      <c r="D73" s="147"/>
      <c r="E73" s="147"/>
      <c r="F73" s="162"/>
      <c r="G73" s="162"/>
      <c r="H73" s="217"/>
      <c r="I73" s="153"/>
    </row>
    <row r="74" spans="1:9" x14ac:dyDescent="0.2">
      <c r="A74" s="163" t="s">
        <v>341</v>
      </c>
      <c r="B74" s="164" t="s">
        <v>342</v>
      </c>
      <c r="C74" s="162">
        <f>+C75</f>
        <v>0</v>
      </c>
      <c r="D74" s="160"/>
      <c r="E74" s="160"/>
      <c r="F74" s="162"/>
      <c r="G74" s="162"/>
      <c r="H74" s="217"/>
      <c r="I74" s="153"/>
    </row>
    <row r="75" spans="1:9" x14ac:dyDescent="0.2">
      <c r="A75" s="49" t="s">
        <v>343</v>
      </c>
      <c r="B75" s="47" t="s">
        <v>344</v>
      </c>
      <c r="C75" s="158"/>
      <c r="D75" s="160"/>
      <c r="E75" s="160"/>
      <c r="F75" s="43"/>
      <c r="G75" s="158"/>
      <c r="H75" s="217"/>
      <c r="I75" s="46"/>
    </row>
    <row r="76" spans="1:9" x14ac:dyDescent="0.2">
      <c r="A76" s="163" t="s">
        <v>345</v>
      </c>
      <c r="B76" s="164" t="s">
        <v>346</v>
      </c>
      <c r="C76" s="162">
        <f>+C77</f>
        <v>0</v>
      </c>
      <c r="D76" s="160"/>
      <c r="E76" s="160"/>
      <c r="F76" s="162"/>
      <c r="G76" s="162"/>
      <c r="H76" s="217"/>
      <c r="I76" s="153"/>
    </row>
    <row r="77" spans="1:9" x14ac:dyDescent="0.2">
      <c r="A77" s="49" t="s">
        <v>347</v>
      </c>
      <c r="B77" s="47" t="s">
        <v>348</v>
      </c>
      <c r="C77" s="158"/>
      <c r="D77" s="160"/>
      <c r="E77" s="160"/>
      <c r="F77" s="43"/>
      <c r="G77" s="158"/>
      <c r="H77" s="217"/>
      <c r="I77" s="46"/>
    </row>
    <row r="78" spans="1:9" x14ac:dyDescent="0.2">
      <c r="A78" s="165" t="s">
        <v>349</v>
      </c>
      <c r="B78" s="166" t="s">
        <v>350</v>
      </c>
      <c r="C78" s="162">
        <f>+C79+C82+C86+C89</f>
        <v>0</v>
      </c>
      <c r="D78" s="44"/>
      <c r="E78" s="44"/>
      <c r="F78" s="162"/>
      <c r="G78" s="162"/>
      <c r="H78" s="217"/>
      <c r="I78" s="46"/>
    </row>
    <row r="79" spans="1:9" x14ac:dyDescent="0.2">
      <c r="A79" s="163" t="s">
        <v>351</v>
      </c>
      <c r="B79" s="164" t="s">
        <v>352</v>
      </c>
      <c r="C79" s="162">
        <f>+C80+C81</f>
        <v>0</v>
      </c>
      <c r="D79" s="160"/>
      <c r="E79" s="160"/>
      <c r="F79" s="162"/>
      <c r="G79" s="162"/>
      <c r="H79" s="217"/>
      <c r="I79" s="153"/>
    </row>
    <row r="80" spans="1:9" x14ac:dyDescent="0.2">
      <c r="A80" s="49" t="s">
        <v>353</v>
      </c>
      <c r="B80" s="47" t="s">
        <v>354</v>
      </c>
      <c r="C80" s="158"/>
      <c r="D80" s="160"/>
      <c r="E80" s="160"/>
      <c r="F80" s="43"/>
      <c r="G80" s="158"/>
      <c r="H80" s="217"/>
      <c r="I80" s="46"/>
    </row>
    <row r="81" spans="1:9" x14ac:dyDescent="0.2">
      <c r="A81" s="49" t="s">
        <v>355</v>
      </c>
      <c r="B81" s="47" t="s">
        <v>238</v>
      </c>
      <c r="C81" s="158"/>
      <c r="D81" s="160"/>
      <c r="E81" s="160"/>
      <c r="F81" s="43"/>
      <c r="G81" s="158"/>
      <c r="H81" s="217"/>
      <c r="I81" s="46"/>
    </row>
    <row r="82" spans="1:9" x14ac:dyDescent="0.2">
      <c r="A82" s="163" t="s">
        <v>356</v>
      </c>
      <c r="B82" s="164" t="s">
        <v>357</v>
      </c>
      <c r="C82" s="162"/>
      <c r="D82" s="160"/>
      <c r="E82" s="160"/>
      <c r="F82" s="162"/>
      <c r="G82" s="162"/>
      <c r="H82" s="217"/>
      <c r="I82" s="153"/>
    </row>
    <row r="83" spans="1:9" x14ac:dyDescent="0.2">
      <c r="A83" s="49" t="s">
        <v>358</v>
      </c>
      <c r="B83" s="47" t="s">
        <v>242</v>
      </c>
      <c r="C83" s="158"/>
      <c r="D83" s="160"/>
      <c r="E83" s="160"/>
      <c r="F83" s="43"/>
      <c r="G83" s="158"/>
      <c r="H83" s="217"/>
      <c r="I83" s="46"/>
    </row>
    <row r="84" spans="1:9" x14ac:dyDescent="0.2">
      <c r="A84" s="49" t="s">
        <v>359</v>
      </c>
      <c r="B84" s="47" t="s">
        <v>360</v>
      </c>
      <c r="C84" s="158"/>
      <c r="D84" s="160"/>
      <c r="E84" s="160"/>
      <c r="F84" s="43"/>
      <c r="G84" s="158"/>
      <c r="H84" s="217"/>
      <c r="I84" s="46"/>
    </row>
    <row r="85" spans="1:9" x14ac:dyDescent="0.2">
      <c r="A85" s="49" t="s">
        <v>361</v>
      </c>
      <c r="B85" s="47" t="s">
        <v>362</v>
      </c>
      <c r="C85" s="158"/>
      <c r="D85" s="160"/>
      <c r="E85" s="160"/>
      <c r="F85" s="43"/>
      <c r="G85" s="158"/>
      <c r="H85" s="217"/>
      <c r="I85" s="46"/>
    </row>
    <row r="86" spans="1:9" x14ac:dyDescent="0.2">
      <c r="A86" s="163" t="s">
        <v>363</v>
      </c>
      <c r="B86" s="164" t="s">
        <v>364</v>
      </c>
      <c r="C86" s="162"/>
      <c r="D86" s="160"/>
      <c r="E86" s="160"/>
      <c r="F86" s="162"/>
      <c r="G86" s="162"/>
      <c r="H86" s="217"/>
      <c r="I86" s="46"/>
    </row>
    <row r="87" spans="1:9" x14ac:dyDescent="0.2">
      <c r="A87" s="49" t="s">
        <v>365</v>
      </c>
      <c r="B87" s="47" t="s">
        <v>366</v>
      </c>
      <c r="C87" s="158"/>
      <c r="D87" s="160"/>
      <c r="E87" s="160"/>
      <c r="F87" s="43"/>
      <c r="G87" s="158"/>
      <c r="H87" s="217"/>
      <c r="I87" s="46"/>
    </row>
    <row r="88" spans="1:9" x14ac:dyDescent="0.2">
      <c r="A88" s="49" t="s">
        <v>367</v>
      </c>
      <c r="B88" s="47" t="s">
        <v>368</v>
      </c>
      <c r="C88" s="158"/>
      <c r="D88" s="160"/>
      <c r="E88" s="160"/>
      <c r="F88" s="43"/>
      <c r="G88" s="158"/>
      <c r="H88" s="217"/>
      <c r="I88" s="46"/>
    </row>
    <row r="89" spans="1:9" x14ac:dyDescent="0.2">
      <c r="A89" s="163" t="s">
        <v>369</v>
      </c>
      <c r="B89" s="164" t="s">
        <v>370</v>
      </c>
      <c r="C89" s="162"/>
      <c r="D89" s="160"/>
      <c r="E89" s="160"/>
      <c r="F89" s="162"/>
      <c r="G89" s="162"/>
      <c r="H89" s="217"/>
      <c r="I89" s="46"/>
    </row>
    <row r="90" spans="1:9" x14ac:dyDescent="0.2">
      <c r="A90" s="49" t="s">
        <v>371</v>
      </c>
      <c r="B90" s="47" t="s">
        <v>372</v>
      </c>
      <c r="C90" s="158"/>
      <c r="D90" s="160"/>
      <c r="E90" s="160"/>
      <c r="F90" s="43"/>
      <c r="G90" s="158"/>
      <c r="H90" s="217"/>
      <c r="I90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J1" sqref="J1:R1048576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228" width="9.140625" style="31"/>
    <col min="229" max="229" width="19" style="31" customWidth="1"/>
    <col min="230" max="230" width="57.5703125" style="31" customWidth="1"/>
    <col min="231" max="231" width="20.140625" style="31" customWidth="1"/>
    <col min="232" max="233" width="17.5703125" style="31" bestFit="1" customWidth="1"/>
    <col min="234" max="234" width="16.42578125" style="31" bestFit="1" customWidth="1"/>
    <col min="235" max="235" width="15.5703125" style="31" bestFit="1" customWidth="1"/>
    <col min="236" max="236" width="11.85546875" style="31" bestFit="1" customWidth="1"/>
    <col min="237" max="237" width="15.42578125" style="31" bestFit="1" customWidth="1"/>
    <col min="238" max="238" width="9.42578125" style="31" bestFit="1" customWidth="1"/>
    <col min="239" max="239" width="15.42578125" style="31" bestFit="1" customWidth="1"/>
    <col min="240" max="240" width="9.42578125" style="31" bestFit="1" customWidth="1"/>
    <col min="241" max="484" width="9.140625" style="31"/>
    <col min="485" max="485" width="19" style="31" customWidth="1"/>
    <col min="486" max="486" width="57.5703125" style="31" customWidth="1"/>
    <col min="487" max="487" width="20.140625" style="31" customWidth="1"/>
    <col min="488" max="489" width="17.5703125" style="31" bestFit="1" customWidth="1"/>
    <col min="490" max="490" width="16.42578125" style="31" bestFit="1" customWidth="1"/>
    <col min="491" max="491" width="15.5703125" style="31" bestFit="1" customWidth="1"/>
    <col min="492" max="492" width="11.85546875" style="31" bestFit="1" customWidth="1"/>
    <col min="493" max="493" width="15.42578125" style="31" bestFit="1" customWidth="1"/>
    <col min="494" max="494" width="9.42578125" style="31" bestFit="1" customWidth="1"/>
    <col min="495" max="495" width="15.42578125" style="31" bestFit="1" customWidth="1"/>
    <col min="496" max="496" width="9.42578125" style="31" bestFit="1" customWidth="1"/>
    <col min="497" max="740" width="9.140625" style="31"/>
    <col min="741" max="741" width="19" style="31" customWidth="1"/>
    <col min="742" max="742" width="57.5703125" style="31" customWidth="1"/>
    <col min="743" max="743" width="20.140625" style="31" customWidth="1"/>
    <col min="744" max="745" width="17.5703125" style="31" bestFit="1" customWidth="1"/>
    <col min="746" max="746" width="16.42578125" style="31" bestFit="1" customWidth="1"/>
    <col min="747" max="747" width="15.5703125" style="31" bestFit="1" customWidth="1"/>
    <col min="748" max="748" width="11.85546875" style="31" bestFit="1" customWidth="1"/>
    <col min="749" max="749" width="15.42578125" style="31" bestFit="1" customWidth="1"/>
    <col min="750" max="750" width="9.42578125" style="31" bestFit="1" customWidth="1"/>
    <col min="751" max="751" width="15.42578125" style="31" bestFit="1" customWidth="1"/>
    <col min="752" max="752" width="9.42578125" style="31" bestFit="1" customWidth="1"/>
    <col min="753" max="996" width="9.140625" style="31"/>
    <col min="997" max="997" width="19" style="31" customWidth="1"/>
    <col min="998" max="998" width="57.5703125" style="31" customWidth="1"/>
    <col min="999" max="999" width="20.140625" style="31" customWidth="1"/>
    <col min="1000" max="1001" width="17.5703125" style="31" bestFit="1" customWidth="1"/>
    <col min="1002" max="1002" width="16.42578125" style="31" bestFit="1" customWidth="1"/>
    <col min="1003" max="1003" width="15.5703125" style="31" bestFit="1" customWidth="1"/>
    <col min="1004" max="1004" width="11.85546875" style="31" bestFit="1" customWidth="1"/>
    <col min="1005" max="1005" width="15.42578125" style="31" bestFit="1" customWidth="1"/>
    <col min="1006" max="1006" width="9.42578125" style="31" bestFit="1" customWidth="1"/>
    <col min="1007" max="1007" width="15.42578125" style="31" bestFit="1" customWidth="1"/>
    <col min="1008" max="1008" width="9.42578125" style="31" bestFit="1" customWidth="1"/>
    <col min="1009" max="1252" width="9.140625" style="31"/>
    <col min="1253" max="1253" width="19" style="31" customWidth="1"/>
    <col min="1254" max="1254" width="57.5703125" style="31" customWidth="1"/>
    <col min="1255" max="1255" width="20.140625" style="31" customWidth="1"/>
    <col min="1256" max="1257" width="17.5703125" style="31" bestFit="1" customWidth="1"/>
    <col min="1258" max="1258" width="16.42578125" style="31" bestFit="1" customWidth="1"/>
    <col min="1259" max="1259" width="15.5703125" style="31" bestFit="1" customWidth="1"/>
    <col min="1260" max="1260" width="11.85546875" style="31" bestFit="1" customWidth="1"/>
    <col min="1261" max="1261" width="15.42578125" style="31" bestFit="1" customWidth="1"/>
    <col min="1262" max="1262" width="9.42578125" style="31" bestFit="1" customWidth="1"/>
    <col min="1263" max="1263" width="15.42578125" style="31" bestFit="1" customWidth="1"/>
    <col min="1264" max="1264" width="9.42578125" style="31" bestFit="1" customWidth="1"/>
    <col min="1265" max="1508" width="9.140625" style="31"/>
    <col min="1509" max="1509" width="19" style="31" customWidth="1"/>
    <col min="1510" max="1510" width="57.5703125" style="31" customWidth="1"/>
    <col min="1511" max="1511" width="20.140625" style="31" customWidth="1"/>
    <col min="1512" max="1513" width="17.5703125" style="31" bestFit="1" customWidth="1"/>
    <col min="1514" max="1514" width="16.42578125" style="31" bestFit="1" customWidth="1"/>
    <col min="1515" max="1515" width="15.5703125" style="31" bestFit="1" customWidth="1"/>
    <col min="1516" max="1516" width="11.85546875" style="31" bestFit="1" customWidth="1"/>
    <col min="1517" max="1517" width="15.42578125" style="31" bestFit="1" customWidth="1"/>
    <col min="1518" max="1518" width="9.42578125" style="31" bestFit="1" customWidth="1"/>
    <col min="1519" max="1519" width="15.42578125" style="31" bestFit="1" customWidth="1"/>
    <col min="1520" max="1520" width="9.42578125" style="31" bestFit="1" customWidth="1"/>
    <col min="1521" max="1764" width="9.140625" style="31"/>
    <col min="1765" max="1765" width="19" style="31" customWidth="1"/>
    <col min="1766" max="1766" width="57.5703125" style="31" customWidth="1"/>
    <col min="1767" max="1767" width="20.140625" style="31" customWidth="1"/>
    <col min="1768" max="1769" width="17.5703125" style="31" bestFit="1" customWidth="1"/>
    <col min="1770" max="1770" width="16.42578125" style="31" bestFit="1" customWidth="1"/>
    <col min="1771" max="1771" width="15.5703125" style="31" bestFit="1" customWidth="1"/>
    <col min="1772" max="1772" width="11.85546875" style="31" bestFit="1" customWidth="1"/>
    <col min="1773" max="1773" width="15.42578125" style="31" bestFit="1" customWidth="1"/>
    <col min="1774" max="1774" width="9.42578125" style="31" bestFit="1" customWidth="1"/>
    <col min="1775" max="1775" width="15.42578125" style="31" bestFit="1" customWidth="1"/>
    <col min="1776" max="1776" width="9.42578125" style="31" bestFit="1" customWidth="1"/>
    <col min="1777" max="2020" width="9.140625" style="31"/>
    <col min="2021" max="2021" width="19" style="31" customWidth="1"/>
    <col min="2022" max="2022" width="57.5703125" style="31" customWidth="1"/>
    <col min="2023" max="2023" width="20.140625" style="31" customWidth="1"/>
    <col min="2024" max="2025" width="17.5703125" style="31" bestFit="1" customWidth="1"/>
    <col min="2026" max="2026" width="16.42578125" style="31" bestFit="1" customWidth="1"/>
    <col min="2027" max="2027" width="15.5703125" style="31" bestFit="1" customWidth="1"/>
    <col min="2028" max="2028" width="11.85546875" style="31" bestFit="1" customWidth="1"/>
    <col min="2029" max="2029" width="15.42578125" style="31" bestFit="1" customWidth="1"/>
    <col min="2030" max="2030" width="9.42578125" style="31" bestFit="1" customWidth="1"/>
    <col min="2031" max="2031" width="15.42578125" style="31" bestFit="1" customWidth="1"/>
    <col min="2032" max="2032" width="9.42578125" style="31" bestFit="1" customWidth="1"/>
    <col min="2033" max="2276" width="9.140625" style="31"/>
    <col min="2277" max="2277" width="19" style="31" customWidth="1"/>
    <col min="2278" max="2278" width="57.5703125" style="31" customWidth="1"/>
    <col min="2279" max="2279" width="20.140625" style="31" customWidth="1"/>
    <col min="2280" max="2281" width="17.5703125" style="31" bestFit="1" customWidth="1"/>
    <col min="2282" max="2282" width="16.42578125" style="31" bestFit="1" customWidth="1"/>
    <col min="2283" max="2283" width="15.5703125" style="31" bestFit="1" customWidth="1"/>
    <col min="2284" max="2284" width="11.85546875" style="31" bestFit="1" customWidth="1"/>
    <col min="2285" max="2285" width="15.42578125" style="31" bestFit="1" customWidth="1"/>
    <col min="2286" max="2286" width="9.42578125" style="31" bestFit="1" customWidth="1"/>
    <col min="2287" max="2287" width="15.42578125" style="31" bestFit="1" customWidth="1"/>
    <col min="2288" max="2288" width="9.42578125" style="31" bestFit="1" customWidth="1"/>
    <col min="2289" max="2532" width="9.140625" style="31"/>
    <col min="2533" max="2533" width="19" style="31" customWidth="1"/>
    <col min="2534" max="2534" width="57.5703125" style="31" customWidth="1"/>
    <col min="2535" max="2535" width="20.140625" style="31" customWidth="1"/>
    <col min="2536" max="2537" width="17.5703125" style="31" bestFit="1" customWidth="1"/>
    <col min="2538" max="2538" width="16.42578125" style="31" bestFit="1" customWidth="1"/>
    <col min="2539" max="2539" width="15.5703125" style="31" bestFit="1" customWidth="1"/>
    <col min="2540" max="2540" width="11.85546875" style="31" bestFit="1" customWidth="1"/>
    <col min="2541" max="2541" width="15.42578125" style="31" bestFit="1" customWidth="1"/>
    <col min="2542" max="2542" width="9.42578125" style="31" bestFit="1" customWidth="1"/>
    <col min="2543" max="2543" width="15.42578125" style="31" bestFit="1" customWidth="1"/>
    <col min="2544" max="2544" width="9.42578125" style="31" bestFit="1" customWidth="1"/>
    <col min="2545" max="2788" width="9.140625" style="31"/>
    <col min="2789" max="2789" width="19" style="31" customWidth="1"/>
    <col min="2790" max="2790" width="57.5703125" style="31" customWidth="1"/>
    <col min="2791" max="2791" width="20.140625" style="31" customWidth="1"/>
    <col min="2792" max="2793" width="17.5703125" style="31" bestFit="1" customWidth="1"/>
    <col min="2794" max="2794" width="16.42578125" style="31" bestFit="1" customWidth="1"/>
    <col min="2795" max="2795" width="15.5703125" style="31" bestFit="1" customWidth="1"/>
    <col min="2796" max="2796" width="11.85546875" style="31" bestFit="1" customWidth="1"/>
    <col min="2797" max="2797" width="15.42578125" style="31" bestFit="1" customWidth="1"/>
    <col min="2798" max="2798" width="9.42578125" style="31" bestFit="1" customWidth="1"/>
    <col min="2799" max="2799" width="15.42578125" style="31" bestFit="1" customWidth="1"/>
    <col min="2800" max="2800" width="9.42578125" style="31" bestFit="1" customWidth="1"/>
    <col min="2801" max="3044" width="9.140625" style="31"/>
    <col min="3045" max="3045" width="19" style="31" customWidth="1"/>
    <col min="3046" max="3046" width="57.5703125" style="31" customWidth="1"/>
    <col min="3047" max="3047" width="20.140625" style="31" customWidth="1"/>
    <col min="3048" max="3049" width="17.5703125" style="31" bestFit="1" customWidth="1"/>
    <col min="3050" max="3050" width="16.42578125" style="31" bestFit="1" customWidth="1"/>
    <col min="3051" max="3051" width="15.5703125" style="31" bestFit="1" customWidth="1"/>
    <col min="3052" max="3052" width="11.85546875" style="31" bestFit="1" customWidth="1"/>
    <col min="3053" max="3053" width="15.42578125" style="31" bestFit="1" customWidth="1"/>
    <col min="3054" max="3054" width="9.42578125" style="31" bestFit="1" customWidth="1"/>
    <col min="3055" max="3055" width="15.42578125" style="31" bestFit="1" customWidth="1"/>
    <col min="3056" max="3056" width="9.42578125" style="31" bestFit="1" customWidth="1"/>
    <col min="3057" max="3300" width="9.140625" style="31"/>
    <col min="3301" max="3301" width="19" style="31" customWidth="1"/>
    <col min="3302" max="3302" width="57.5703125" style="31" customWidth="1"/>
    <col min="3303" max="3303" width="20.140625" style="31" customWidth="1"/>
    <col min="3304" max="3305" width="17.5703125" style="31" bestFit="1" customWidth="1"/>
    <col min="3306" max="3306" width="16.42578125" style="31" bestFit="1" customWidth="1"/>
    <col min="3307" max="3307" width="15.5703125" style="31" bestFit="1" customWidth="1"/>
    <col min="3308" max="3308" width="11.85546875" style="31" bestFit="1" customWidth="1"/>
    <col min="3309" max="3309" width="15.42578125" style="31" bestFit="1" customWidth="1"/>
    <col min="3310" max="3310" width="9.42578125" style="31" bestFit="1" customWidth="1"/>
    <col min="3311" max="3311" width="15.42578125" style="31" bestFit="1" customWidth="1"/>
    <col min="3312" max="3312" width="9.42578125" style="31" bestFit="1" customWidth="1"/>
    <col min="3313" max="3556" width="9.140625" style="31"/>
    <col min="3557" max="3557" width="19" style="31" customWidth="1"/>
    <col min="3558" max="3558" width="57.5703125" style="31" customWidth="1"/>
    <col min="3559" max="3559" width="20.140625" style="31" customWidth="1"/>
    <col min="3560" max="3561" width="17.5703125" style="31" bestFit="1" customWidth="1"/>
    <col min="3562" max="3562" width="16.42578125" style="31" bestFit="1" customWidth="1"/>
    <col min="3563" max="3563" width="15.5703125" style="31" bestFit="1" customWidth="1"/>
    <col min="3564" max="3564" width="11.85546875" style="31" bestFit="1" customWidth="1"/>
    <col min="3565" max="3565" width="15.42578125" style="31" bestFit="1" customWidth="1"/>
    <col min="3566" max="3566" width="9.42578125" style="31" bestFit="1" customWidth="1"/>
    <col min="3567" max="3567" width="15.42578125" style="31" bestFit="1" customWidth="1"/>
    <col min="3568" max="3568" width="9.42578125" style="31" bestFit="1" customWidth="1"/>
    <col min="3569" max="3812" width="9.140625" style="31"/>
    <col min="3813" max="3813" width="19" style="31" customWidth="1"/>
    <col min="3814" max="3814" width="57.5703125" style="31" customWidth="1"/>
    <col min="3815" max="3815" width="20.140625" style="31" customWidth="1"/>
    <col min="3816" max="3817" width="17.5703125" style="31" bestFit="1" customWidth="1"/>
    <col min="3818" max="3818" width="16.42578125" style="31" bestFit="1" customWidth="1"/>
    <col min="3819" max="3819" width="15.5703125" style="31" bestFit="1" customWidth="1"/>
    <col min="3820" max="3820" width="11.85546875" style="31" bestFit="1" customWidth="1"/>
    <col min="3821" max="3821" width="15.42578125" style="31" bestFit="1" customWidth="1"/>
    <col min="3822" max="3822" width="9.42578125" style="31" bestFit="1" customWidth="1"/>
    <col min="3823" max="3823" width="15.42578125" style="31" bestFit="1" customWidth="1"/>
    <col min="3824" max="3824" width="9.42578125" style="31" bestFit="1" customWidth="1"/>
    <col min="3825" max="4068" width="9.140625" style="31"/>
    <col min="4069" max="4069" width="19" style="31" customWidth="1"/>
    <col min="4070" max="4070" width="57.5703125" style="31" customWidth="1"/>
    <col min="4071" max="4071" width="20.140625" style="31" customWidth="1"/>
    <col min="4072" max="4073" width="17.5703125" style="31" bestFit="1" customWidth="1"/>
    <col min="4074" max="4074" width="16.42578125" style="31" bestFit="1" customWidth="1"/>
    <col min="4075" max="4075" width="15.5703125" style="31" bestFit="1" customWidth="1"/>
    <col min="4076" max="4076" width="11.85546875" style="31" bestFit="1" customWidth="1"/>
    <col min="4077" max="4077" width="15.42578125" style="31" bestFit="1" customWidth="1"/>
    <col min="4078" max="4078" width="9.42578125" style="31" bestFit="1" customWidth="1"/>
    <col min="4079" max="4079" width="15.42578125" style="31" bestFit="1" customWidth="1"/>
    <col min="4080" max="4080" width="9.42578125" style="31" bestFit="1" customWidth="1"/>
    <col min="4081" max="4324" width="9.140625" style="31"/>
    <col min="4325" max="4325" width="19" style="31" customWidth="1"/>
    <col min="4326" max="4326" width="57.5703125" style="31" customWidth="1"/>
    <col min="4327" max="4327" width="20.140625" style="31" customWidth="1"/>
    <col min="4328" max="4329" width="17.5703125" style="31" bestFit="1" customWidth="1"/>
    <col min="4330" max="4330" width="16.42578125" style="31" bestFit="1" customWidth="1"/>
    <col min="4331" max="4331" width="15.5703125" style="31" bestFit="1" customWidth="1"/>
    <col min="4332" max="4332" width="11.85546875" style="31" bestFit="1" customWidth="1"/>
    <col min="4333" max="4333" width="15.42578125" style="31" bestFit="1" customWidth="1"/>
    <col min="4334" max="4334" width="9.42578125" style="31" bestFit="1" customWidth="1"/>
    <col min="4335" max="4335" width="15.42578125" style="31" bestFit="1" customWidth="1"/>
    <col min="4336" max="4336" width="9.42578125" style="31" bestFit="1" customWidth="1"/>
    <col min="4337" max="4580" width="9.140625" style="31"/>
    <col min="4581" max="4581" width="19" style="31" customWidth="1"/>
    <col min="4582" max="4582" width="57.5703125" style="31" customWidth="1"/>
    <col min="4583" max="4583" width="20.140625" style="31" customWidth="1"/>
    <col min="4584" max="4585" width="17.5703125" style="31" bestFit="1" customWidth="1"/>
    <col min="4586" max="4586" width="16.42578125" style="31" bestFit="1" customWidth="1"/>
    <col min="4587" max="4587" width="15.5703125" style="31" bestFit="1" customWidth="1"/>
    <col min="4588" max="4588" width="11.85546875" style="31" bestFit="1" customWidth="1"/>
    <col min="4589" max="4589" width="15.42578125" style="31" bestFit="1" customWidth="1"/>
    <col min="4590" max="4590" width="9.42578125" style="31" bestFit="1" customWidth="1"/>
    <col min="4591" max="4591" width="15.42578125" style="31" bestFit="1" customWidth="1"/>
    <col min="4592" max="4592" width="9.42578125" style="31" bestFit="1" customWidth="1"/>
    <col min="4593" max="4836" width="9.140625" style="31"/>
    <col min="4837" max="4837" width="19" style="31" customWidth="1"/>
    <col min="4838" max="4838" width="57.5703125" style="31" customWidth="1"/>
    <col min="4839" max="4839" width="20.140625" style="31" customWidth="1"/>
    <col min="4840" max="4841" width="17.5703125" style="31" bestFit="1" customWidth="1"/>
    <col min="4842" max="4842" width="16.42578125" style="31" bestFit="1" customWidth="1"/>
    <col min="4843" max="4843" width="15.5703125" style="31" bestFit="1" customWidth="1"/>
    <col min="4844" max="4844" width="11.85546875" style="31" bestFit="1" customWidth="1"/>
    <col min="4845" max="4845" width="15.42578125" style="31" bestFit="1" customWidth="1"/>
    <col min="4846" max="4846" width="9.42578125" style="31" bestFit="1" customWidth="1"/>
    <col min="4847" max="4847" width="15.42578125" style="31" bestFit="1" customWidth="1"/>
    <col min="4848" max="4848" width="9.42578125" style="31" bestFit="1" customWidth="1"/>
    <col min="4849" max="5092" width="9.140625" style="31"/>
    <col min="5093" max="5093" width="19" style="31" customWidth="1"/>
    <col min="5094" max="5094" width="57.5703125" style="31" customWidth="1"/>
    <col min="5095" max="5095" width="20.140625" style="31" customWidth="1"/>
    <col min="5096" max="5097" width="17.5703125" style="31" bestFit="1" customWidth="1"/>
    <col min="5098" max="5098" width="16.42578125" style="31" bestFit="1" customWidth="1"/>
    <col min="5099" max="5099" width="15.5703125" style="31" bestFit="1" customWidth="1"/>
    <col min="5100" max="5100" width="11.85546875" style="31" bestFit="1" customWidth="1"/>
    <col min="5101" max="5101" width="15.42578125" style="31" bestFit="1" customWidth="1"/>
    <col min="5102" max="5102" width="9.42578125" style="31" bestFit="1" customWidth="1"/>
    <col min="5103" max="5103" width="15.42578125" style="31" bestFit="1" customWidth="1"/>
    <col min="5104" max="5104" width="9.42578125" style="31" bestFit="1" customWidth="1"/>
    <col min="5105" max="5348" width="9.140625" style="31"/>
    <col min="5349" max="5349" width="19" style="31" customWidth="1"/>
    <col min="5350" max="5350" width="57.5703125" style="31" customWidth="1"/>
    <col min="5351" max="5351" width="20.140625" style="31" customWidth="1"/>
    <col min="5352" max="5353" width="17.5703125" style="31" bestFit="1" customWidth="1"/>
    <col min="5354" max="5354" width="16.42578125" style="31" bestFit="1" customWidth="1"/>
    <col min="5355" max="5355" width="15.5703125" style="31" bestFit="1" customWidth="1"/>
    <col min="5356" max="5356" width="11.85546875" style="31" bestFit="1" customWidth="1"/>
    <col min="5357" max="5357" width="15.42578125" style="31" bestFit="1" customWidth="1"/>
    <col min="5358" max="5358" width="9.42578125" style="31" bestFit="1" customWidth="1"/>
    <col min="5359" max="5359" width="15.42578125" style="31" bestFit="1" customWidth="1"/>
    <col min="5360" max="5360" width="9.42578125" style="31" bestFit="1" customWidth="1"/>
    <col min="5361" max="5604" width="9.140625" style="31"/>
    <col min="5605" max="5605" width="19" style="31" customWidth="1"/>
    <col min="5606" max="5606" width="57.5703125" style="31" customWidth="1"/>
    <col min="5607" max="5607" width="20.140625" style="31" customWidth="1"/>
    <col min="5608" max="5609" width="17.5703125" style="31" bestFit="1" customWidth="1"/>
    <col min="5610" max="5610" width="16.42578125" style="31" bestFit="1" customWidth="1"/>
    <col min="5611" max="5611" width="15.5703125" style="31" bestFit="1" customWidth="1"/>
    <col min="5612" max="5612" width="11.85546875" style="31" bestFit="1" customWidth="1"/>
    <col min="5613" max="5613" width="15.42578125" style="31" bestFit="1" customWidth="1"/>
    <col min="5614" max="5614" width="9.42578125" style="31" bestFit="1" customWidth="1"/>
    <col min="5615" max="5615" width="15.42578125" style="31" bestFit="1" customWidth="1"/>
    <col min="5616" max="5616" width="9.42578125" style="31" bestFit="1" customWidth="1"/>
    <col min="5617" max="5860" width="9.140625" style="31"/>
    <col min="5861" max="5861" width="19" style="31" customWidth="1"/>
    <col min="5862" max="5862" width="57.5703125" style="31" customWidth="1"/>
    <col min="5863" max="5863" width="20.140625" style="31" customWidth="1"/>
    <col min="5864" max="5865" width="17.5703125" style="31" bestFit="1" customWidth="1"/>
    <col min="5866" max="5866" width="16.42578125" style="31" bestFit="1" customWidth="1"/>
    <col min="5867" max="5867" width="15.5703125" style="31" bestFit="1" customWidth="1"/>
    <col min="5868" max="5868" width="11.85546875" style="31" bestFit="1" customWidth="1"/>
    <col min="5869" max="5869" width="15.42578125" style="31" bestFit="1" customWidth="1"/>
    <col min="5870" max="5870" width="9.42578125" style="31" bestFit="1" customWidth="1"/>
    <col min="5871" max="5871" width="15.42578125" style="31" bestFit="1" customWidth="1"/>
    <col min="5872" max="5872" width="9.42578125" style="31" bestFit="1" customWidth="1"/>
    <col min="5873" max="6116" width="9.140625" style="31"/>
    <col min="6117" max="6117" width="19" style="31" customWidth="1"/>
    <col min="6118" max="6118" width="57.5703125" style="31" customWidth="1"/>
    <col min="6119" max="6119" width="20.140625" style="31" customWidth="1"/>
    <col min="6120" max="6121" width="17.5703125" style="31" bestFit="1" customWidth="1"/>
    <col min="6122" max="6122" width="16.42578125" style="31" bestFit="1" customWidth="1"/>
    <col min="6123" max="6123" width="15.5703125" style="31" bestFit="1" customWidth="1"/>
    <col min="6124" max="6124" width="11.85546875" style="31" bestFit="1" customWidth="1"/>
    <col min="6125" max="6125" width="15.42578125" style="31" bestFit="1" customWidth="1"/>
    <col min="6126" max="6126" width="9.42578125" style="31" bestFit="1" customWidth="1"/>
    <col min="6127" max="6127" width="15.42578125" style="31" bestFit="1" customWidth="1"/>
    <col min="6128" max="6128" width="9.42578125" style="31" bestFit="1" customWidth="1"/>
    <col min="6129" max="6372" width="9.140625" style="31"/>
    <col min="6373" max="6373" width="19" style="31" customWidth="1"/>
    <col min="6374" max="6374" width="57.5703125" style="31" customWidth="1"/>
    <col min="6375" max="6375" width="20.140625" style="31" customWidth="1"/>
    <col min="6376" max="6377" width="17.5703125" style="31" bestFit="1" customWidth="1"/>
    <col min="6378" max="6378" width="16.42578125" style="31" bestFit="1" customWidth="1"/>
    <col min="6379" max="6379" width="15.5703125" style="31" bestFit="1" customWidth="1"/>
    <col min="6380" max="6380" width="11.85546875" style="31" bestFit="1" customWidth="1"/>
    <col min="6381" max="6381" width="15.42578125" style="31" bestFit="1" customWidth="1"/>
    <col min="6382" max="6382" width="9.42578125" style="31" bestFit="1" customWidth="1"/>
    <col min="6383" max="6383" width="15.42578125" style="31" bestFit="1" customWidth="1"/>
    <col min="6384" max="6384" width="9.42578125" style="31" bestFit="1" customWidth="1"/>
    <col min="6385" max="6628" width="9.140625" style="31"/>
    <col min="6629" max="6629" width="19" style="31" customWidth="1"/>
    <col min="6630" max="6630" width="57.5703125" style="31" customWidth="1"/>
    <col min="6631" max="6631" width="20.140625" style="31" customWidth="1"/>
    <col min="6632" max="6633" width="17.5703125" style="31" bestFit="1" customWidth="1"/>
    <col min="6634" max="6634" width="16.42578125" style="31" bestFit="1" customWidth="1"/>
    <col min="6635" max="6635" width="15.5703125" style="31" bestFit="1" customWidth="1"/>
    <col min="6636" max="6636" width="11.85546875" style="31" bestFit="1" customWidth="1"/>
    <col min="6637" max="6637" width="15.42578125" style="31" bestFit="1" customWidth="1"/>
    <col min="6638" max="6638" width="9.42578125" style="31" bestFit="1" customWidth="1"/>
    <col min="6639" max="6639" width="15.42578125" style="31" bestFit="1" customWidth="1"/>
    <col min="6640" max="6640" width="9.42578125" style="31" bestFit="1" customWidth="1"/>
    <col min="6641" max="6884" width="9.140625" style="31"/>
    <col min="6885" max="6885" width="19" style="31" customWidth="1"/>
    <col min="6886" max="6886" width="57.5703125" style="31" customWidth="1"/>
    <col min="6887" max="6887" width="20.140625" style="31" customWidth="1"/>
    <col min="6888" max="6889" width="17.5703125" style="31" bestFit="1" customWidth="1"/>
    <col min="6890" max="6890" width="16.42578125" style="31" bestFit="1" customWidth="1"/>
    <col min="6891" max="6891" width="15.5703125" style="31" bestFit="1" customWidth="1"/>
    <col min="6892" max="6892" width="11.85546875" style="31" bestFit="1" customWidth="1"/>
    <col min="6893" max="6893" width="15.42578125" style="31" bestFit="1" customWidth="1"/>
    <col min="6894" max="6894" width="9.42578125" style="31" bestFit="1" customWidth="1"/>
    <col min="6895" max="6895" width="15.42578125" style="31" bestFit="1" customWidth="1"/>
    <col min="6896" max="6896" width="9.42578125" style="31" bestFit="1" customWidth="1"/>
    <col min="6897" max="7140" width="9.140625" style="31"/>
    <col min="7141" max="7141" width="19" style="31" customWidth="1"/>
    <col min="7142" max="7142" width="57.5703125" style="31" customWidth="1"/>
    <col min="7143" max="7143" width="20.140625" style="31" customWidth="1"/>
    <col min="7144" max="7145" width="17.5703125" style="31" bestFit="1" customWidth="1"/>
    <col min="7146" max="7146" width="16.42578125" style="31" bestFit="1" customWidth="1"/>
    <col min="7147" max="7147" width="15.5703125" style="31" bestFit="1" customWidth="1"/>
    <col min="7148" max="7148" width="11.85546875" style="31" bestFit="1" customWidth="1"/>
    <col min="7149" max="7149" width="15.42578125" style="31" bestFit="1" customWidth="1"/>
    <col min="7150" max="7150" width="9.42578125" style="31" bestFit="1" customWidth="1"/>
    <col min="7151" max="7151" width="15.42578125" style="31" bestFit="1" customWidth="1"/>
    <col min="7152" max="7152" width="9.42578125" style="31" bestFit="1" customWidth="1"/>
    <col min="7153" max="7396" width="9.140625" style="31"/>
    <col min="7397" max="7397" width="19" style="31" customWidth="1"/>
    <col min="7398" max="7398" width="57.5703125" style="31" customWidth="1"/>
    <col min="7399" max="7399" width="20.140625" style="31" customWidth="1"/>
    <col min="7400" max="7401" width="17.5703125" style="31" bestFit="1" customWidth="1"/>
    <col min="7402" max="7402" width="16.42578125" style="31" bestFit="1" customWidth="1"/>
    <col min="7403" max="7403" width="15.5703125" style="31" bestFit="1" customWidth="1"/>
    <col min="7404" max="7404" width="11.85546875" style="31" bestFit="1" customWidth="1"/>
    <col min="7405" max="7405" width="15.42578125" style="31" bestFit="1" customWidth="1"/>
    <col min="7406" max="7406" width="9.42578125" style="31" bestFit="1" customWidth="1"/>
    <col min="7407" max="7407" width="15.42578125" style="31" bestFit="1" customWidth="1"/>
    <col min="7408" max="7408" width="9.42578125" style="31" bestFit="1" customWidth="1"/>
    <col min="7409" max="7652" width="9.140625" style="31"/>
    <col min="7653" max="7653" width="19" style="31" customWidth="1"/>
    <col min="7654" max="7654" width="57.5703125" style="31" customWidth="1"/>
    <col min="7655" max="7655" width="20.140625" style="31" customWidth="1"/>
    <col min="7656" max="7657" width="17.5703125" style="31" bestFit="1" customWidth="1"/>
    <col min="7658" max="7658" width="16.42578125" style="31" bestFit="1" customWidth="1"/>
    <col min="7659" max="7659" width="15.5703125" style="31" bestFit="1" customWidth="1"/>
    <col min="7660" max="7660" width="11.85546875" style="31" bestFit="1" customWidth="1"/>
    <col min="7661" max="7661" width="15.42578125" style="31" bestFit="1" customWidth="1"/>
    <col min="7662" max="7662" width="9.42578125" style="31" bestFit="1" customWidth="1"/>
    <col min="7663" max="7663" width="15.42578125" style="31" bestFit="1" customWidth="1"/>
    <col min="7664" max="7664" width="9.42578125" style="31" bestFit="1" customWidth="1"/>
    <col min="7665" max="7908" width="9.140625" style="31"/>
    <col min="7909" max="7909" width="19" style="31" customWidth="1"/>
    <col min="7910" max="7910" width="57.5703125" style="31" customWidth="1"/>
    <col min="7911" max="7911" width="20.140625" style="31" customWidth="1"/>
    <col min="7912" max="7913" width="17.5703125" style="31" bestFit="1" customWidth="1"/>
    <col min="7914" max="7914" width="16.42578125" style="31" bestFit="1" customWidth="1"/>
    <col min="7915" max="7915" width="15.5703125" style="31" bestFit="1" customWidth="1"/>
    <col min="7916" max="7916" width="11.85546875" style="31" bestFit="1" customWidth="1"/>
    <col min="7917" max="7917" width="15.42578125" style="31" bestFit="1" customWidth="1"/>
    <col min="7918" max="7918" width="9.42578125" style="31" bestFit="1" customWidth="1"/>
    <col min="7919" max="7919" width="15.42578125" style="31" bestFit="1" customWidth="1"/>
    <col min="7920" max="7920" width="9.42578125" style="31" bestFit="1" customWidth="1"/>
    <col min="7921" max="8164" width="9.140625" style="31"/>
    <col min="8165" max="8165" width="19" style="31" customWidth="1"/>
    <col min="8166" max="8166" width="57.5703125" style="31" customWidth="1"/>
    <col min="8167" max="8167" width="20.140625" style="31" customWidth="1"/>
    <col min="8168" max="8169" width="17.5703125" style="31" bestFit="1" customWidth="1"/>
    <col min="8170" max="8170" width="16.42578125" style="31" bestFit="1" customWidth="1"/>
    <col min="8171" max="8171" width="15.5703125" style="31" bestFit="1" customWidth="1"/>
    <col min="8172" max="8172" width="11.85546875" style="31" bestFit="1" customWidth="1"/>
    <col min="8173" max="8173" width="15.42578125" style="31" bestFit="1" customWidth="1"/>
    <col min="8174" max="8174" width="9.42578125" style="31" bestFit="1" customWidth="1"/>
    <col min="8175" max="8175" width="15.42578125" style="31" bestFit="1" customWidth="1"/>
    <col min="8176" max="8176" width="9.42578125" style="31" bestFit="1" customWidth="1"/>
    <col min="8177" max="8420" width="9.140625" style="31"/>
    <col min="8421" max="8421" width="19" style="31" customWidth="1"/>
    <col min="8422" max="8422" width="57.5703125" style="31" customWidth="1"/>
    <col min="8423" max="8423" width="20.140625" style="31" customWidth="1"/>
    <col min="8424" max="8425" width="17.5703125" style="31" bestFit="1" customWidth="1"/>
    <col min="8426" max="8426" width="16.42578125" style="31" bestFit="1" customWidth="1"/>
    <col min="8427" max="8427" width="15.5703125" style="31" bestFit="1" customWidth="1"/>
    <col min="8428" max="8428" width="11.85546875" style="31" bestFit="1" customWidth="1"/>
    <col min="8429" max="8429" width="15.42578125" style="31" bestFit="1" customWidth="1"/>
    <col min="8430" max="8430" width="9.42578125" style="31" bestFit="1" customWidth="1"/>
    <col min="8431" max="8431" width="15.42578125" style="31" bestFit="1" customWidth="1"/>
    <col min="8432" max="8432" width="9.42578125" style="31" bestFit="1" customWidth="1"/>
    <col min="8433" max="8676" width="9.140625" style="31"/>
    <col min="8677" max="8677" width="19" style="31" customWidth="1"/>
    <col min="8678" max="8678" width="57.5703125" style="31" customWidth="1"/>
    <col min="8679" max="8679" width="20.140625" style="31" customWidth="1"/>
    <col min="8680" max="8681" width="17.5703125" style="31" bestFit="1" customWidth="1"/>
    <col min="8682" max="8682" width="16.42578125" style="31" bestFit="1" customWidth="1"/>
    <col min="8683" max="8683" width="15.5703125" style="31" bestFit="1" customWidth="1"/>
    <col min="8684" max="8684" width="11.85546875" style="31" bestFit="1" customWidth="1"/>
    <col min="8685" max="8685" width="15.42578125" style="31" bestFit="1" customWidth="1"/>
    <col min="8686" max="8686" width="9.42578125" style="31" bestFit="1" customWidth="1"/>
    <col min="8687" max="8687" width="15.42578125" style="31" bestFit="1" customWidth="1"/>
    <col min="8688" max="8688" width="9.42578125" style="31" bestFit="1" customWidth="1"/>
    <col min="8689" max="8932" width="9.140625" style="31"/>
    <col min="8933" max="8933" width="19" style="31" customWidth="1"/>
    <col min="8934" max="8934" width="57.5703125" style="31" customWidth="1"/>
    <col min="8935" max="8935" width="20.140625" style="31" customWidth="1"/>
    <col min="8936" max="8937" width="17.5703125" style="31" bestFit="1" customWidth="1"/>
    <col min="8938" max="8938" width="16.42578125" style="31" bestFit="1" customWidth="1"/>
    <col min="8939" max="8939" width="15.5703125" style="31" bestFit="1" customWidth="1"/>
    <col min="8940" max="8940" width="11.85546875" style="31" bestFit="1" customWidth="1"/>
    <col min="8941" max="8941" width="15.42578125" style="31" bestFit="1" customWidth="1"/>
    <col min="8942" max="8942" width="9.42578125" style="31" bestFit="1" customWidth="1"/>
    <col min="8943" max="8943" width="15.42578125" style="31" bestFit="1" customWidth="1"/>
    <col min="8944" max="8944" width="9.42578125" style="31" bestFit="1" customWidth="1"/>
    <col min="8945" max="9188" width="9.140625" style="31"/>
    <col min="9189" max="9189" width="19" style="31" customWidth="1"/>
    <col min="9190" max="9190" width="57.5703125" style="31" customWidth="1"/>
    <col min="9191" max="9191" width="20.140625" style="31" customWidth="1"/>
    <col min="9192" max="9193" width="17.5703125" style="31" bestFit="1" customWidth="1"/>
    <col min="9194" max="9194" width="16.42578125" style="31" bestFit="1" customWidth="1"/>
    <col min="9195" max="9195" width="15.5703125" style="31" bestFit="1" customWidth="1"/>
    <col min="9196" max="9196" width="11.85546875" style="31" bestFit="1" customWidth="1"/>
    <col min="9197" max="9197" width="15.42578125" style="31" bestFit="1" customWidth="1"/>
    <col min="9198" max="9198" width="9.42578125" style="31" bestFit="1" customWidth="1"/>
    <col min="9199" max="9199" width="15.42578125" style="31" bestFit="1" customWidth="1"/>
    <col min="9200" max="9200" width="9.42578125" style="31" bestFit="1" customWidth="1"/>
    <col min="9201" max="9444" width="9.140625" style="31"/>
    <col min="9445" max="9445" width="19" style="31" customWidth="1"/>
    <col min="9446" max="9446" width="57.5703125" style="31" customWidth="1"/>
    <col min="9447" max="9447" width="20.140625" style="31" customWidth="1"/>
    <col min="9448" max="9449" width="17.5703125" style="31" bestFit="1" customWidth="1"/>
    <col min="9450" max="9450" width="16.42578125" style="31" bestFit="1" customWidth="1"/>
    <col min="9451" max="9451" width="15.5703125" style="31" bestFit="1" customWidth="1"/>
    <col min="9452" max="9452" width="11.85546875" style="31" bestFit="1" customWidth="1"/>
    <col min="9453" max="9453" width="15.42578125" style="31" bestFit="1" customWidth="1"/>
    <col min="9454" max="9454" width="9.42578125" style="31" bestFit="1" customWidth="1"/>
    <col min="9455" max="9455" width="15.42578125" style="31" bestFit="1" customWidth="1"/>
    <col min="9456" max="9456" width="9.42578125" style="31" bestFit="1" customWidth="1"/>
    <col min="9457" max="9700" width="9.140625" style="31"/>
    <col min="9701" max="9701" width="19" style="31" customWidth="1"/>
    <col min="9702" max="9702" width="57.5703125" style="31" customWidth="1"/>
    <col min="9703" max="9703" width="20.140625" style="31" customWidth="1"/>
    <col min="9704" max="9705" width="17.5703125" style="31" bestFit="1" customWidth="1"/>
    <col min="9706" max="9706" width="16.42578125" style="31" bestFit="1" customWidth="1"/>
    <col min="9707" max="9707" width="15.5703125" style="31" bestFit="1" customWidth="1"/>
    <col min="9708" max="9708" width="11.85546875" style="31" bestFit="1" customWidth="1"/>
    <col min="9709" max="9709" width="15.42578125" style="31" bestFit="1" customWidth="1"/>
    <col min="9710" max="9710" width="9.42578125" style="31" bestFit="1" customWidth="1"/>
    <col min="9711" max="9711" width="15.42578125" style="31" bestFit="1" customWidth="1"/>
    <col min="9712" max="9712" width="9.42578125" style="31" bestFit="1" customWidth="1"/>
    <col min="9713" max="9956" width="9.140625" style="31"/>
    <col min="9957" max="9957" width="19" style="31" customWidth="1"/>
    <col min="9958" max="9958" width="57.5703125" style="31" customWidth="1"/>
    <col min="9959" max="9959" width="20.140625" style="31" customWidth="1"/>
    <col min="9960" max="9961" width="17.5703125" style="31" bestFit="1" customWidth="1"/>
    <col min="9962" max="9962" width="16.42578125" style="31" bestFit="1" customWidth="1"/>
    <col min="9963" max="9963" width="15.5703125" style="31" bestFit="1" customWidth="1"/>
    <col min="9964" max="9964" width="11.85546875" style="31" bestFit="1" customWidth="1"/>
    <col min="9965" max="9965" width="15.42578125" style="31" bestFit="1" customWidth="1"/>
    <col min="9966" max="9966" width="9.42578125" style="31" bestFit="1" customWidth="1"/>
    <col min="9967" max="9967" width="15.42578125" style="31" bestFit="1" customWidth="1"/>
    <col min="9968" max="9968" width="9.42578125" style="31" bestFit="1" customWidth="1"/>
    <col min="9969" max="10212" width="9.140625" style="31"/>
    <col min="10213" max="10213" width="19" style="31" customWidth="1"/>
    <col min="10214" max="10214" width="57.5703125" style="31" customWidth="1"/>
    <col min="10215" max="10215" width="20.140625" style="31" customWidth="1"/>
    <col min="10216" max="10217" width="17.5703125" style="31" bestFit="1" customWidth="1"/>
    <col min="10218" max="10218" width="16.42578125" style="31" bestFit="1" customWidth="1"/>
    <col min="10219" max="10219" width="15.5703125" style="31" bestFit="1" customWidth="1"/>
    <col min="10220" max="10220" width="11.85546875" style="31" bestFit="1" customWidth="1"/>
    <col min="10221" max="10221" width="15.42578125" style="31" bestFit="1" customWidth="1"/>
    <col min="10222" max="10222" width="9.42578125" style="31" bestFit="1" customWidth="1"/>
    <col min="10223" max="10223" width="15.42578125" style="31" bestFit="1" customWidth="1"/>
    <col min="10224" max="10224" width="9.42578125" style="31" bestFit="1" customWidth="1"/>
    <col min="10225" max="10468" width="9.140625" style="31"/>
    <col min="10469" max="10469" width="19" style="31" customWidth="1"/>
    <col min="10470" max="10470" width="57.5703125" style="31" customWidth="1"/>
    <col min="10471" max="10471" width="20.140625" style="31" customWidth="1"/>
    <col min="10472" max="10473" width="17.5703125" style="31" bestFit="1" customWidth="1"/>
    <col min="10474" max="10474" width="16.42578125" style="31" bestFit="1" customWidth="1"/>
    <col min="10475" max="10475" width="15.5703125" style="31" bestFit="1" customWidth="1"/>
    <col min="10476" max="10476" width="11.85546875" style="31" bestFit="1" customWidth="1"/>
    <col min="10477" max="10477" width="15.42578125" style="31" bestFit="1" customWidth="1"/>
    <col min="10478" max="10478" width="9.42578125" style="31" bestFit="1" customWidth="1"/>
    <col min="10479" max="10479" width="15.42578125" style="31" bestFit="1" customWidth="1"/>
    <col min="10480" max="10480" width="9.42578125" style="31" bestFit="1" customWidth="1"/>
    <col min="10481" max="10724" width="9.140625" style="31"/>
    <col min="10725" max="10725" width="19" style="31" customWidth="1"/>
    <col min="10726" max="10726" width="57.5703125" style="31" customWidth="1"/>
    <col min="10727" max="10727" width="20.140625" style="31" customWidth="1"/>
    <col min="10728" max="10729" width="17.5703125" style="31" bestFit="1" customWidth="1"/>
    <col min="10730" max="10730" width="16.42578125" style="31" bestFit="1" customWidth="1"/>
    <col min="10731" max="10731" width="15.5703125" style="31" bestFit="1" customWidth="1"/>
    <col min="10732" max="10732" width="11.85546875" style="31" bestFit="1" customWidth="1"/>
    <col min="10733" max="10733" width="15.42578125" style="31" bestFit="1" customWidth="1"/>
    <col min="10734" max="10734" width="9.42578125" style="31" bestFit="1" customWidth="1"/>
    <col min="10735" max="10735" width="15.42578125" style="31" bestFit="1" customWidth="1"/>
    <col min="10736" max="10736" width="9.42578125" style="31" bestFit="1" customWidth="1"/>
    <col min="10737" max="10980" width="9.140625" style="31"/>
    <col min="10981" max="10981" width="19" style="31" customWidth="1"/>
    <col min="10982" max="10982" width="57.5703125" style="31" customWidth="1"/>
    <col min="10983" max="10983" width="20.140625" style="31" customWidth="1"/>
    <col min="10984" max="10985" width="17.5703125" style="31" bestFit="1" customWidth="1"/>
    <col min="10986" max="10986" width="16.42578125" style="31" bestFit="1" customWidth="1"/>
    <col min="10987" max="10987" width="15.5703125" style="31" bestFit="1" customWidth="1"/>
    <col min="10988" max="10988" width="11.85546875" style="31" bestFit="1" customWidth="1"/>
    <col min="10989" max="10989" width="15.42578125" style="31" bestFit="1" customWidth="1"/>
    <col min="10990" max="10990" width="9.42578125" style="31" bestFit="1" customWidth="1"/>
    <col min="10991" max="10991" width="15.42578125" style="31" bestFit="1" customWidth="1"/>
    <col min="10992" max="10992" width="9.42578125" style="31" bestFit="1" customWidth="1"/>
    <col min="10993" max="11236" width="9.140625" style="31"/>
    <col min="11237" max="11237" width="19" style="31" customWidth="1"/>
    <col min="11238" max="11238" width="57.5703125" style="31" customWidth="1"/>
    <col min="11239" max="11239" width="20.140625" style="31" customWidth="1"/>
    <col min="11240" max="11241" width="17.5703125" style="31" bestFit="1" customWidth="1"/>
    <col min="11242" max="11242" width="16.42578125" style="31" bestFit="1" customWidth="1"/>
    <col min="11243" max="11243" width="15.5703125" style="31" bestFit="1" customWidth="1"/>
    <col min="11244" max="11244" width="11.85546875" style="31" bestFit="1" customWidth="1"/>
    <col min="11245" max="11245" width="15.42578125" style="31" bestFit="1" customWidth="1"/>
    <col min="11246" max="11246" width="9.42578125" style="31" bestFit="1" customWidth="1"/>
    <col min="11247" max="11247" width="15.42578125" style="31" bestFit="1" customWidth="1"/>
    <col min="11248" max="11248" width="9.42578125" style="31" bestFit="1" customWidth="1"/>
    <col min="11249" max="11492" width="9.140625" style="31"/>
    <col min="11493" max="11493" width="19" style="31" customWidth="1"/>
    <col min="11494" max="11494" width="57.5703125" style="31" customWidth="1"/>
    <col min="11495" max="11495" width="20.140625" style="31" customWidth="1"/>
    <col min="11496" max="11497" width="17.5703125" style="31" bestFit="1" customWidth="1"/>
    <col min="11498" max="11498" width="16.42578125" style="31" bestFit="1" customWidth="1"/>
    <col min="11499" max="11499" width="15.5703125" style="31" bestFit="1" customWidth="1"/>
    <col min="11500" max="11500" width="11.85546875" style="31" bestFit="1" customWidth="1"/>
    <col min="11501" max="11501" width="15.42578125" style="31" bestFit="1" customWidth="1"/>
    <col min="11502" max="11502" width="9.42578125" style="31" bestFit="1" customWidth="1"/>
    <col min="11503" max="11503" width="15.42578125" style="31" bestFit="1" customWidth="1"/>
    <col min="11504" max="11504" width="9.42578125" style="31" bestFit="1" customWidth="1"/>
    <col min="11505" max="11748" width="9.140625" style="31"/>
    <col min="11749" max="11749" width="19" style="31" customWidth="1"/>
    <col min="11750" max="11750" width="57.5703125" style="31" customWidth="1"/>
    <col min="11751" max="11751" width="20.140625" style="31" customWidth="1"/>
    <col min="11752" max="11753" width="17.5703125" style="31" bestFit="1" customWidth="1"/>
    <col min="11754" max="11754" width="16.42578125" style="31" bestFit="1" customWidth="1"/>
    <col min="11755" max="11755" width="15.5703125" style="31" bestFit="1" customWidth="1"/>
    <col min="11756" max="11756" width="11.85546875" style="31" bestFit="1" customWidth="1"/>
    <col min="11757" max="11757" width="15.42578125" style="31" bestFit="1" customWidth="1"/>
    <col min="11758" max="11758" width="9.42578125" style="31" bestFit="1" customWidth="1"/>
    <col min="11759" max="11759" width="15.42578125" style="31" bestFit="1" customWidth="1"/>
    <col min="11760" max="11760" width="9.42578125" style="31" bestFit="1" customWidth="1"/>
    <col min="11761" max="12004" width="9.140625" style="31"/>
    <col min="12005" max="12005" width="19" style="31" customWidth="1"/>
    <col min="12006" max="12006" width="57.5703125" style="31" customWidth="1"/>
    <col min="12007" max="12007" width="20.140625" style="31" customWidth="1"/>
    <col min="12008" max="12009" width="17.5703125" style="31" bestFit="1" customWidth="1"/>
    <col min="12010" max="12010" width="16.42578125" style="31" bestFit="1" customWidth="1"/>
    <col min="12011" max="12011" width="15.5703125" style="31" bestFit="1" customWidth="1"/>
    <col min="12012" max="12012" width="11.85546875" style="31" bestFit="1" customWidth="1"/>
    <col min="12013" max="12013" width="15.42578125" style="31" bestFit="1" customWidth="1"/>
    <col min="12014" max="12014" width="9.42578125" style="31" bestFit="1" customWidth="1"/>
    <col min="12015" max="12015" width="15.42578125" style="31" bestFit="1" customWidth="1"/>
    <col min="12016" max="12016" width="9.42578125" style="31" bestFit="1" customWidth="1"/>
    <col min="12017" max="12260" width="9.140625" style="31"/>
    <col min="12261" max="12261" width="19" style="31" customWidth="1"/>
    <col min="12262" max="12262" width="57.5703125" style="31" customWidth="1"/>
    <col min="12263" max="12263" width="20.140625" style="31" customWidth="1"/>
    <col min="12264" max="12265" width="17.5703125" style="31" bestFit="1" customWidth="1"/>
    <col min="12266" max="12266" width="16.42578125" style="31" bestFit="1" customWidth="1"/>
    <col min="12267" max="12267" width="15.5703125" style="31" bestFit="1" customWidth="1"/>
    <col min="12268" max="12268" width="11.85546875" style="31" bestFit="1" customWidth="1"/>
    <col min="12269" max="12269" width="15.42578125" style="31" bestFit="1" customWidth="1"/>
    <col min="12270" max="12270" width="9.42578125" style="31" bestFit="1" customWidth="1"/>
    <col min="12271" max="12271" width="15.42578125" style="31" bestFit="1" customWidth="1"/>
    <col min="12272" max="12272" width="9.42578125" style="31" bestFit="1" customWidth="1"/>
    <col min="12273" max="12516" width="9.140625" style="31"/>
    <col min="12517" max="12517" width="19" style="31" customWidth="1"/>
    <col min="12518" max="12518" width="57.5703125" style="31" customWidth="1"/>
    <col min="12519" max="12519" width="20.140625" style="31" customWidth="1"/>
    <col min="12520" max="12521" width="17.5703125" style="31" bestFit="1" customWidth="1"/>
    <col min="12522" max="12522" width="16.42578125" style="31" bestFit="1" customWidth="1"/>
    <col min="12523" max="12523" width="15.5703125" style="31" bestFit="1" customWidth="1"/>
    <col min="12524" max="12524" width="11.85546875" style="31" bestFit="1" customWidth="1"/>
    <col min="12525" max="12525" width="15.42578125" style="31" bestFit="1" customWidth="1"/>
    <col min="12526" max="12526" width="9.42578125" style="31" bestFit="1" customWidth="1"/>
    <col min="12527" max="12527" width="15.42578125" style="31" bestFit="1" customWidth="1"/>
    <col min="12528" max="12528" width="9.42578125" style="31" bestFit="1" customWidth="1"/>
    <col min="12529" max="12772" width="9.140625" style="31"/>
    <col min="12773" max="12773" width="19" style="31" customWidth="1"/>
    <col min="12774" max="12774" width="57.5703125" style="31" customWidth="1"/>
    <col min="12775" max="12775" width="20.140625" style="31" customWidth="1"/>
    <col min="12776" max="12777" width="17.5703125" style="31" bestFit="1" customWidth="1"/>
    <col min="12778" max="12778" width="16.42578125" style="31" bestFit="1" customWidth="1"/>
    <col min="12779" max="12779" width="15.5703125" style="31" bestFit="1" customWidth="1"/>
    <col min="12780" max="12780" width="11.85546875" style="31" bestFit="1" customWidth="1"/>
    <col min="12781" max="12781" width="15.42578125" style="31" bestFit="1" customWidth="1"/>
    <col min="12782" max="12782" width="9.42578125" style="31" bestFit="1" customWidth="1"/>
    <col min="12783" max="12783" width="15.42578125" style="31" bestFit="1" customWidth="1"/>
    <col min="12784" max="12784" width="9.42578125" style="31" bestFit="1" customWidth="1"/>
    <col min="12785" max="13028" width="9.140625" style="31"/>
    <col min="13029" max="13029" width="19" style="31" customWidth="1"/>
    <col min="13030" max="13030" width="57.5703125" style="31" customWidth="1"/>
    <col min="13031" max="13031" width="20.140625" style="31" customWidth="1"/>
    <col min="13032" max="13033" width="17.5703125" style="31" bestFit="1" customWidth="1"/>
    <col min="13034" max="13034" width="16.42578125" style="31" bestFit="1" customWidth="1"/>
    <col min="13035" max="13035" width="15.5703125" style="31" bestFit="1" customWidth="1"/>
    <col min="13036" max="13036" width="11.85546875" style="31" bestFit="1" customWidth="1"/>
    <col min="13037" max="13037" width="15.42578125" style="31" bestFit="1" customWidth="1"/>
    <col min="13038" max="13038" width="9.42578125" style="31" bestFit="1" customWidth="1"/>
    <col min="13039" max="13039" width="15.42578125" style="31" bestFit="1" customWidth="1"/>
    <col min="13040" max="13040" width="9.42578125" style="31" bestFit="1" customWidth="1"/>
    <col min="13041" max="13284" width="9.140625" style="31"/>
    <col min="13285" max="13285" width="19" style="31" customWidth="1"/>
    <col min="13286" max="13286" width="57.5703125" style="31" customWidth="1"/>
    <col min="13287" max="13287" width="20.140625" style="31" customWidth="1"/>
    <col min="13288" max="13289" width="17.5703125" style="31" bestFit="1" customWidth="1"/>
    <col min="13290" max="13290" width="16.42578125" style="31" bestFit="1" customWidth="1"/>
    <col min="13291" max="13291" width="15.5703125" style="31" bestFit="1" customWidth="1"/>
    <col min="13292" max="13292" width="11.85546875" style="31" bestFit="1" customWidth="1"/>
    <col min="13293" max="13293" width="15.42578125" style="31" bestFit="1" customWidth="1"/>
    <col min="13294" max="13294" width="9.42578125" style="31" bestFit="1" customWidth="1"/>
    <col min="13295" max="13295" width="15.42578125" style="31" bestFit="1" customWidth="1"/>
    <col min="13296" max="13296" width="9.42578125" style="31" bestFit="1" customWidth="1"/>
    <col min="13297" max="13540" width="9.140625" style="31"/>
    <col min="13541" max="13541" width="19" style="31" customWidth="1"/>
    <col min="13542" max="13542" width="57.5703125" style="31" customWidth="1"/>
    <col min="13543" max="13543" width="20.140625" style="31" customWidth="1"/>
    <col min="13544" max="13545" width="17.5703125" style="31" bestFit="1" customWidth="1"/>
    <col min="13546" max="13546" width="16.42578125" style="31" bestFit="1" customWidth="1"/>
    <col min="13547" max="13547" width="15.5703125" style="31" bestFit="1" customWidth="1"/>
    <col min="13548" max="13548" width="11.85546875" style="31" bestFit="1" customWidth="1"/>
    <col min="13549" max="13549" width="15.42578125" style="31" bestFit="1" customWidth="1"/>
    <col min="13550" max="13550" width="9.42578125" style="31" bestFit="1" customWidth="1"/>
    <col min="13551" max="13551" width="15.42578125" style="31" bestFit="1" customWidth="1"/>
    <col min="13552" max="13552" width="9.42578125" style="31" bestFit="1" customWidth="1"/>
    <col min="13553" max="13796" width="9.140625" style="31"/>
    <col min="13797" max="13797" width="19" style="31" customWidth="1"/>
    <col min="13798" max="13798" width="57.5703125" style="31" customWidth="1"/>
    <col min="13799" max="13799" width="20.140625" style="31" customWidth="1"/>
    <col min="13800" max="13801" width="17.5703125" style="31" bestFit="1" customWidth="1"/>
    <col min="13802" max="13802" width="16.42578125" style="31" bestFit="1" customWidth="1"/>
    <col min="13803" max="13803" width="15.5703125" style="31" bestFit="1" customWidth="1"/>
    <col min="13804" max="13804" width="11.85546875" style="31" bestFit="1" customWidth="1"/>
    <col min="13805" max="13805" width="15.42578125" style="31" bestFit="1" customWidth="1"/>
    <col min="13806" max="13806" width="9.42578125" style="31" bestFit="1" customWidth="1"/>
    <col min="13807" max="13807" width="15.42578125" style="31" bestFit="1" customWidth="1"/>
    <col min="13808" max="13808" width="9.42578125" style="31" bestFit="1" customWidth="1"/>
    <col min="13809" max="14052" width="9.140625" style="31"/>
    <col min="14053" max="14053" width="19" style="31" customWidth="1"/>
    <col min="14054" max="14054" width="57.5703125" style="31" customWidth="1"/>
    <col min="14055" max="14055" width="20.140625" style="31" customWidth="1"/>
    <col min="14056" max="14057" width="17.5703125" style="31" bestFit="1" customWidth="1"/>
    <col min="14058" max="14058" width="16.42578125" style="31" bestFit="1" customWidth="1"/>
    <col min="14059" max="14059" width="15.5703125" style="31" bestFit="1" customWidth="1"/>
    <col min="14060" max="14060" width="11.85546875" style="31" bestFit="1" customWidth="1"/>
    <col min="14061" max="14061" width="15.42578125" style="31" bestFit="1" customWidth="1"/>
    <col min="14062" max="14062" width="9.42578125" style="31" bestFit="1" customWidth="1"/>
    <col min="14063" max="14063" width="15.42578125" style="31" bestFit="1" customWidth="1"/>
    <col min="14064" max="14064" width="9.42578125" style="31" bestFit="1" customWidth="1"/>
    <col min="14065" max="14308" width="9.140625" style="31"/>
    <col min="14309" max="14309" width="19" style="31" customWidth="1"/>
    <col min="14310" max="14310" width="57.5703125" style="31" customWidth="1"/>
    <col min="14311" max="14311" width="20.140625" style="31" customWidth="1"/>
    <col min="14312" max="14313" width="17.5703125" style="31" bestFit="1" customWidth="1"/>
    <col min="14314" max="14314" width="16.42578125" style="31" bestFit="1" customWidth="1"/>
    <col min="14315" max="14315" width="15.5703125" style="31" bestFit="1" customWidth="1"/>
    <col min="14316" max="14316" width="11.85546875" style="31" bestFit="1" customWidth="1"/>
    <col min="14317" max="14317" width="15.42578125" style="31" bestFit="1" customWidth="1"/>
    <col min="14318" max="14318" width="9.42578125" style="31" bestFit="1" customWidth="1"/>
    <col min="14319" max="14319" width="15.42578125" style="31" bestFit="1" customWidth="1"/>
    <col min="14320" max="14320" width="9.42578125" style="31" bestFit="1" customWidth="1"/>
    <col min="14321" max="14564" width="9.140625" style="31"/>
    <col min="14565" max="14565" width="19" style="31" customWidth="1"/>
    <col min="14566" max="14566" width="57.5703125" style="31" customWidth="1"/>
    <col min="14567" max="14567" width="20.140625" style="31" customWidth="1"/>
    <col min="14568" max="14569" width="17.5703125" style="31" bestFit="1" customWidth="1"/>
    <col min="14570" max="14570" width="16.42578125" style="31" bestFit="1" customWidth="1"/>
    <col min="14571" max="14571" width="15.5703125" style="31" bestFit="1" customWidth="1"/>
    <col min="14572" max="14572" width="11.85546875" style="31" bestFit="1" customWidth="1"/>
    <col min="14573" max="14573" width="15.42578125" style="31" bestFit="1" customWidth="1"/>
    <col min="14574" max="14574" width="9.42578125" style="31" bestFit="1" customWidth="1"/>
    <col min="14575" max="14575" width="15.42578125" style="31" bestFit="1" customWidth="1"/>
    <col min="14576" max="14576" width="9.42578125" style="31" bestFit="1" customWidth="1"/>
    <col min="14577" max="14820" width="9.140625" style="31"/>
    <col min="14821" max="14821" width="19" style="31" customWidth="1"/>
    <col min="14822" max="14822" width="57.5703125" style="31" customWidth="1"/>
    <col min="14823" max="14823" width="20.140625" style="31" customWidth="1"/>
    <col min="14824" max="14825" width="17.5703125" style="31" bestFit="1" customWidth="1"/>
    <col min="14826" max="14826" width="16.42578125" style="31" bestFit="1" customWidth="1"/>
    <col min="14827" max="14827" width="15.5703125" style="31" bestFit="1" customWidth="1"/>
    <col min="14828" max="14828" width="11.85546875" style="31" bestFit="1" customWidth="1"/>
    <col min="14829" max="14829" width="15.42578125" style="31" bestFit="1" customWidth="1"/>
    <col min="14830" max="14830" width="9.42578125" style="31" bestFit="1" customWidth="1"/>
    <col min="14831" max="14831" width="15.42578125" style="31" bestFit="1" customWidth="1"/>
    <col min="14832" max="14832" width="9.42578125" style="31" bestFit="1" customWidth="1"/>
    <col min="14833" max="15076" width="9.140625" style="31"/>
    <col min="15077" max="15077" width="19" style="31" customWidth="1"/>
    <col min="15078" max="15078" width="57.5703125" style="31" customWidth="1"/>
    <col min="15079" max="15079" width="20.140625" style="31" customWidth="1"/>
    <col min="15080" max="15081" width="17.5703125" style="31" bestFit="1" customWidth="1"/>
    <col min="15082" max="15082" width="16.42578125" style="31" bestFit="1" customWidth="1"/>
    <col min="15083" max="15083" width="15.5703125" style="31" bestFit="1" customWidth="1"/>
    <col min="15084" max="15084" width="11.85546875" style="31" bestFit="1" customWidth="1"/>
    <col min="15085" max="15085" width="15.42578125" style="31" bestFit="1" customWidth="1"/>
    <col min="15086" max="15086" width="9.42578125" style="31" bestFit="1" customWidth="1"/>
    <col min="15087" max="15087" width="15.42578125" style="31" bestFit="1" customWidth="1"/>
    <col min="15088" max="15088" width="9.42578125" style="31" bestFit="1" customWidth="1"/>
    <col min="15089" max="15332" width="9.140625" style="31"/>
    <col min="15333" max="15333" width="19" style="31" customWidth="1"/>
    <col min="15334" max="15334" width="57.5703125" style="31" customWidth="1"/>
    <col min="15335" max="15335" width="20.140625" style="31" customWidth="1"/>
    <col min="15336" max="15337" width="17.5703125" style="31" bestFit="1" customWidth="1"/>
    <col min="15338" max="15338" width="16.42578125" style="31" bestFit="1" customWidth="1"/>
    <col min="15339" max="15339" width="15.5703125" style="31" bestFit="1" customWidth="1"/>
    <col min="15340" max="15340" width="11.85546875" style="31" bestFit="1" customWidth="1"/>
    <col min="15341" max="15341" width="15.42578125" style="31" bestFit="1" customWidth="1"/>
    <col min="15342" max="15342" width="9.42578125" style="31" bestFit="1" customWidth="1"/>
    <col min="15343" max="15343" width="15.42578125" style="31" bestFit="1" customWidth="1"/>
    <col min="15344" max="15344" width="9.42578125" style="31" bestFit="1" customWidth="1"/>
    <col min="15345" max="15588" width="9.140625" style="31"/>
    <col min="15589" max="15589" width="19" style="31" customWidth="1"/>
    <col min="15590" max="15590" width="57.5703125" style="31" customWidth="1"/>
    <col min="15591" max="15591" width="20.140625" style="31" customWidth="1"/>
    <col min="15592" max="15593" width="17.5703125" style="31" bestFit="1" customWidth="1"/>
    <col min="15594" max="15594" width="16.42578125" style="31" bestFit="1" customWidth="1"/>
    <col min="15595" max="15595" width="15.5703125" style="31" bestFit="1" customWidth="1"/>
    <col min="15596" max="15596" width="11.85546875" style="31" bestFit="1" customWidth="1"/>
    <col min="15597" max="15597" width="15.42578125" style="31" bestFit="1" customWidth="1"/>
    <col min="15598" max="15598" width="9.42578125" style="31" bestFit="1" customWidth="1"/>
    <col min="15599" max="15599" width="15.42578125" style="31" bestFit="1" customWidth="1"/>
    <col min="15600" max="15600" width="9.42578125" style="31" bestFit="1" customWidth="1"/>
    <col min="15601" max="15844" width="9.140625" style="31"/>
    <col min="15845" max="15845" width="19" style="31" customWidth="1"/>
    <col min="15846" max="15846" width="57.5703125" style="31" customWidth="1"/>
    <col min="15847" max="15847" width="20.140625" style="31" customWidth="1"/>
    <col min="15848" max="15849" width="17.5703125" style="31" bestFit="1" customWidth="1"/>
    <col min="15850" max="15850" width="16.42578125" style="31" bestFit="1" customWidth="1"/>
    <col min="15851" max="15851" width="15.5703125" style="31" bestFit="1" customWidth="1"/>
    <col min="15852" max="15852" width="11.85546875" style="31" bestFit="1" customWidth="1"/>
    <col min="15853" max="15853" width="15.42578125" style="31" bestFit="1" customWidth="1"/>
    <col min="15854" max="15854" width="9.42578125" style="31" bestFit="1" customWidth="1"/>
    <col min="15855" max="15855" width="15.42578125" style="31" bestFit="1" customWidth="1"/>
    <col min="15856" max="15856" width="9.42578125" style="31" bestFit="1" customWidth="1"/>
    <col min="15857" max="16100" width="9.140625" style="31"/>
    <col min="16101" max="16101" width="19" style="31" customWidth="1"/>
    <col min="16102" max="16102" width="57.5703125" style="31" customWidth="1"/>
    <col min="16103" max="16103" width="20.140625" style="31" customWidth="1"/>
    <col min="16104" max="16105" width="17.5703125" style="31" bestFit="1" customWidth="1"/>
    <col min="16106" max="16106" width="16.42578125" style="31" bestFit="1" customWidth="1"/>
    <col min="16107" max="16107" width="15.5703125" style="31" bestFit="1" customWidth="1"/>
    <col min="16108" max="16108" width="11.85546875" style="31" bestFit="1" customWidth="1"/>
    <col min="16109" max="16109" width="15.42578125" style="31" bestFit="1" customWidth="1"/>
    <col min="16110" max="16110" width="9.42578125" style="31" bestFit="1" customWidth="1"/>
    <col min="16111" max="16111" width="15.42578125" style="31" bestFit="1" customWidth="1"/>
    <col min="16112" max="16112" width="9.42578125" style="31" bestFit="1" customWidth="1"/>
    <col min="16113" max="16371" width="9.140625" style="31"/>
    <col min="16372" max="16372" width="9.140625" style="31" customWidth="1"/>
    <col min="16373" max="16384" width="9.140625" style="31"/>
  </cols>
  <sheetData>
    <row r="1" spans="1:8" ht="15.75" hidden="1" x14ac:dyDescent="0.2">
      <c r="A1" s="271" t="s">
        <v>0</v>
      </c>
      <c r="B1" s="271"/>
      <c r="C1" s="271"/>
      <c r="D1" s="271"/>
      <c r="E1" s="271"/>
      <c r="F1" s="271"/>
      <c r="G1" s="271"/>
      <c r="H1" s="271"/>
    </row>
    <row r="2" spans="1:8" ht="18" hidden="1" x14ac:dyDescent="0.2">
      <c r="A2" s="152"/>
      <c r="B2" s="152"/>
      <c r="C2" s="152"/>
      <c r="D2" s="152"/>
      <c r="E2" s="152"/>
      <c r="F2" s="152"/>
      <c r="G2" s="152"/>
      <c r="H2" s="161"/>
    </row>
    <row r="3" spans="1:8" ht="15.75" hidden="1" customHeight="1" x14ac:dyDescent="0.2">
      <c r="A3" s="271" t="s">
        <v>23</v>
      </c>
      <c r="B3" s="271"/>
      <c r="C3" s="271"/>
      <c r="D3" s="271"/>
      <c r="E3" s="271"/>
      <c r="F3" s="271"/>
      <c r="G3" s="271"/>
      <c r="H3" s="271"/>
    </row>
    <row r="4" spans="1:8" ht="18" hidden="1" x14ac:dyDescent="0.2">
      <c r="A4" s="152"/>
      <c r="B4" s="152"/>
      <c r="C4" s="152"/>
      <c r="D4" s="152"/>
      <c r="E4" s="152"/>
      <c r="F4" s="152"/>
      <c r="G4" s="152"/>
      <c r="H4" s="161"/>
    </row>
    <row r="5" spans="1:8" ht="15.75" hidden="1" customHeight="1" x14ac:dyDescent="0.2">
      <c r="A5" s="271" t="s">
        <v>24</v>
      </c>
      <c r="B5" s="271"/>
      <c r="C5" s="271"/>
      <c r="D5" s="271"/>
      <c r="E5" s="271"/>
      <c r="F5" s="271"/>
      <c r="G5" s="271"/>
      <c r="H5" s="271"/>
    </row>
    <row r="6" spans="1:8" ht="18" hidden="1" x14ac:dyDescent="0.2">
      <c r="A6" s="52"/>
      <c r="B6" s="52"/>
      <c r="C6" s="52"/>
      <c r="D6" s="52"/>
      <c r="E6" s="52"/>
      <c r="F6" s="52"/>
      <c r="G6" s="52"/>
      <c r="H6" s="161"/>
    </row>
    <row r="7" spans="1:8" s="32" customFormat="1" ht="60" customHeight="1" x14ac:dyDescent="0.25">
      <c r="A7" s="270" t="s">
        <v>3</v>
      </c>
      <c r="B7" s="270"/>
      <c r="C7" s="223" t="s">
        <v>556</v>
      </c>
      <c r="D7" s="224" t="s">
        <v>597</v>
      </c>
      <c r="E7" s="224" t="s">
        <v>598</v>
      </c>
      <c r="F7" s="223" t="s">
        <v>558</v>
      </c>
      <c r="G7" s="56" t="s">
        <v>260</v>
      </c>
      <c r="H7" s="148" t="s">
        <v>261</v>
      </c>
    </row>
    <row r="8" spans="1:8" s="33" customFormat="1" ht="12.75" customHeight="1" x14ac:dyDescent="0.25">
      <c r="A8" s="269">
        <v>1</v>
      </c>
      <c r="B8" s="269"/>
      <c r="C8" s="57">
        <v>2</v>
      </c>
      <c r="D8" s="57">
        <v>3</v>
      </c>
      <c r="E8" s="57">
        <v>4.3333333333333304</v>
      </c>
      <c r="F8" s="57">
        <v>5.0833333333333304</v>
      </c>
      <c r="G8" s="57">
        <v>6</v>
      </c>
      <c r="H8" s="149">
        <v>7</v>
      </c>
    </row>
    <row r="9" spans="1:8" s="33" customFormat="1" x14ac:dyDescent="0.25">
      <c r="A9" s="183"/>
      <c r="B9" s="184" t="s">
        <v>80</v>
      </c>
      <c r="C9" s="176">
        <f>+C10+C113</f>
        <v>5615657.4500000002</v>
      </c>
      <c r="D9" s="176">
        <f>+D10+D113</f>
        <v>11847989</v>
      </c>
      <c r="E9" s="176">
        <f>+E10+E113</f>
        <v>11847989</v>
      </c>
      <c r="F9" s="176">
        <f>+F10+F113</f>
        <v>5912300.5900000008</v>
      </c>
      <c r="G9" s="176">
        <f t="shared" ref="G9:G63" si="0">+F9/C9*100</f>
        <v>105.28242939746977</v>
      </c>
      <c r="H9" s="176">
        <f>+F9/D9*100</f>
        <v>49.901300465420761</v>
      </c>
    </row>
    <row r="10" spans="1:8" ht="20.25" customHeight="1" x14ac:dyDescent="0.2">
      <c r="A10" s="177" t="s">
        <v>81</v>
      </c>
      <c r="B10" s="178" t="s">
        <v>82</v>
      </c>
      <c r="C10" s="179">
        <f>+C11++C23+C56+C65+C73+C90+C98</f>
        <v>5597598.7800000003</v>
      </c>
      <c r="D10" s="180">
        <f>+D11++D23+D56+D65+D73+D90+D98</f>
        <v>11673934</v>
      </c>
      <c r="E10" s="180">
        <f>+E11++E23+E56+E65+E73+E90+E98</f>
        <v>11673934</v>
      </c>
      <c r="F10" s="179">
        <f>+F11++F23+F56+F65+F73+F90+F98</f>
        <v>5792584.080000001</v>
      </c>
      <c r="G10" s="179">
        <f>+F10/C10*100</f>
        <v>103.48337399058818</v>
      </c>
      <c r="H10" s="179">
        <f>+F10/D10*100</f>
        <v>49.619811796092058</v>
      </c>
    </row>
    <row r="11" spans="1:8" x14ac:dyDescent="0.2">
      <c r="A11" s="165" t="s">
        <v>83</v>
      </c>
      <c r="B11" s="166" t="s">
        <v>84</v>
      </c>
      <c r="C11" s="217">
        <f>+C12+C17+C19</f>
        <v>4927688.17</v>
      </c>
      <c r="D11" s="147">
        <v>10393224</v>
      </c>
      <c r="E11" s="147">
        <v>10393224</v>
      </c>
      <c r="F11" s="162">
        <f>+F12+F17+F19</f>
        <v>5059468.290000001</v>
      </c>
      <c r="G11" s="162">
        <f t="shared" si="0"/>
        <v>102.67427879877393</v>
      </c>
      <c r="H11" s="162">
        <f>+F11/D11*100</f>
        <v>48.68045074367685</v>
      </c>
    </row>
    <row r="12" spans="1:8" x14ac:dyDescent="0.2">
      <c r="A12" s="163" t="s">
        <v>85</v>
      </c>
      <c r="B12" s="164" t="s">
        <v>86</v>
      </c>
      <c r="C12" s="217">
        <f>SUM(C13:C16)</f>
        <v>4132848.43</v>
      </c>
      <c r="D12" s="160"/>
      <c r="E12" s="160"/>
      <c r="F12" s="162">
        <f>SUM(F13:F16)</f>
        <v>4268718.87</v>
      </c>
      <c r="G12" s="162">
        <f t="shared" si="0"/>
        <v>103.28757374729081</v>
      </c>
      <c r="H12" s="162"/>
    </row>
    <row r="13" spans="1:8" x14ac:dyDescent="0.2">
      <c r="A13" s="55" t="s">
        <v>87</v>
      </c>
      <c r="B13" s="54" t="s">
        <v>88</v>
      </c>
      <c r="C13" s="206">
        <v>4132848.43</v>
      </c>
      <c r="D13" s="159"/>
      <c r="E13" s="159"/>
      <c r="F13" s="158">
        <v>4268718.87</v>
      </c>
      <c r="G13" s="158"/>
      <c r="H13" s="162"/>
    </row>
    <row r="14" spans="1:8" x14ac:dyDescent="0.2">
      <c r="A14" s="55" t="s">
        <v>373</v>
      </c>
      <c r="B14" s="54" t="s">
        <v>374</v>
      </c>
      <c r="C14" s="215"/>
      <c r="D14" s="159"/>
      <c r="E14" s="159"/>
      <c r="F14" s="158"/>
      <c r="G14" s="158"/>
      <c r="H14" s="162"/>
    </row>
    <row r="15" spans="1:8" x14ac:dyDescent="0.2">
      <c r="A15" s="55" t="s">
        <v>89</v>
      </c>
      <c r="B15" s="54" t="s">
        <v>90</v>
      </c>
      <c r="C15" s="215"/>
      <c r="D15" s="159"/>
      <c r="E15" s="159"/>
      <c r="F15" s="158"/>
      <c r="G15" s="158"/>
      <c r="H15" s="162"/>
    </row>
    <row r="16" spans="1:8" x14ac:dyDescent="0.2">
      <c r="A16" s="55" t="s">
        <v>375</v>
      </c>
      <c r="B16" s="54" t="s">
        <v>376</v>
      </c>
      <c r="C16" s="215"/>
      <c r="D16" s="159"/>
      <c r="E16" s="159"/>
      <c r="F16" s="158"/>
      <c r="G16" s="158"/>
      <c r="H16" s="162"/>
    </row>
    <row r="17" spans="1:8" x14ac:dyDescent="0.2">
      <c r="A17" s="163" t="s">
        <v>91</v>
      </c>
      <c r="B17" s="164" t="s">
        <v>92</v>
      </c>
      <c r="C17" s="217">
        <f>+C18</f>
        <v>114353.76</v>
      </c>
      <c r="D17" s="160"/>
      <c r="E17" s="160"/>
      <c r="F17" s="162">
        <f>+F18</f>
        <v>87795.86</v>
      </c>
      <c r="G17" s="162">
        <f t="shared" si="0"/>
        <v>76.775665268898891</v>
      </c>
      <c r="H17" s="162"/>
    </row>
    <row r="18" spans="1:8" x14ac:dyDescent="0.2">
      <c r="A18" s="55" t="s">
        <v>93</v>
      </c>
      <c r="B18" s="54" t="s">
        <v>92</v>
      </c>
      <c r="C18" s="206">
        <v>114353.76</v>
      </c>
      <c r="D18" s="159"/>
      <c r="E18" s="159"/>
      <c r="F18" s="158">
        <v>87795.86</v>
      </c>
      <c r="G18" s="158">
        <f t="shared" si="0"/>
        <v>76.775665268898891</v>
      </c>
      <c r="H18" s="162"/>
    </row>
    <row r="19" spans="1:8" x14ac:dyDescent="0.2">
      <c r="A19" s="163" t="s">
        <v>94</v>
      </c>
      <c r="B19" s="164" t="s">
        <v>95</v>
      </c>
      <c r="C19" s="217">
        <f>SUM(C20:C22)</f>
        <v>680485.98</v>
      </c>
      <c r="D19" s="160"/>
      <c r="E19" s="160"/>
      <c r="F19" s="162">
        <f>SUM(F20:F22)</f>
        <v>702953.56</v>
      </c>
      <c r="G19" s="162">
        <f t="shared" si="0"/>
        <v>103.30169623773881</v>
      </c>
      <c r="H19" s="162"/>
    </row>
    <row r="20" spans="1:8" x14ac:dyDescent="0.2">
      <c r="A20" s="55" t="s">
        <v>377</v>
      </c>
      <c r="B20" s="54" t="s">
        <v>378</v>
      </c>
      <c r="C20" s="215"/>
      <c r="D20" s="159"/>
      <c r="E20" s="159"/>
      <c r="F20" s="158"/>
      <c r="G20" s="158"/>
      <c r="H20" s="162"/>
    </row>
    <row r="21" spans="1:8" x14ac:dyDescent="0.2">
      <c r="A21" s="55" t="s">
        <v>96</v>
      </c>
      <c r="B21" s="54" t="s">
        <v>97</v>
      </c>
      <c r="C21" s="206">
        <v>680485.98</v>
      </c>
      <c r="D21" s="159"/>
      <c r="E21" s="159"/>
      <c r="F21" s="158">
        <v>702953.56</v>
      </c>
      <c r="G21" s="158"/>
      <c r="H21" s="162"/>
    </row>
    <row r="22" spans="1:8" x14ac:dyDescent="0.2">
      <c r="A22" s="55" t="s">
        <v>379</v>
      </c>
      <c r="B22" s="54" t="s">
        <v>380</v>
      </c>
      <c r="C22" s="215"/>
      <c r="D22" s="159"/>
      <c r="E22" s="159"/>
      <c r="F22" s="158"/>
      <c r="G22" s="158"/>
      <c r="H22" s="162"/>
    </row>
    <row r="23" spans="1:8" x14ac:dyDescent="0.2">
      <c r="A23" s="165" t="s">
        <v>98</v>
      </c>
      <c r="B23" s="166" t="s">
        <v>99</v>
      </c>
      <c r="C23" s="217">
        <f>+C24+C29+C36+C46+C48</f>
        <v>613244.99000000011</v>
      </c>
      <c r="D23" s="147">
        <v>1244810</v>
      </c>
      <c r="E23" s="147">
        <v>1244810</v>
      </c>
      <c r="F23" s="162">
        <f>+F24+F29+F36+F46+F48</f>
        <v>712366.16000000015</v>
      </c>
      <c r="G23" s="162">
        <f t="shared" si="0"/>
        <v>116.16338846893801</v>
      </c>
      <c r="H23" s="162">
        <f>+F23/D23*100</f>
        <v>57.226898884167078</v>
      </c>
    </row>
    <row r="24" spans="1:8" x14ac:dyDescent="0.2">
      <c r="A24" s="163" t="s">
        <v>100</v>
      </c>
      <c r="B24" s="164" t="s">
        <v>101</v>
      </c>
      <c r="C24" s="217">
        <f>SUM(C25:C28)</f>
        <v>187096.88</v>
      </c>
      <c r="D24" s="160"/>
      <c r="E24" s="160"/>
      <c r="F24" s="162">
        <f>SUM(F25:F28)</f>
        <v>175723.93</v>
      </c>
      <c r="G24" s="162">
        <f t="shared" si="0"/>
        <v>93.921357747921817</v>
      </c>
      <c r="H24" s="162"/>
    </row>
    <row r="25" spans="1:8" x14ac:dyDescent="0.2">
      <c r="A25" s="55" t="s">
        <v>102</v>
      </c>
      <c r="B25" s="54" t="s">
        <v>103</v>
      </c>
      <c r="C25" s="206">
        <v>101217.08</v>
      </c>
      <c r="D25" s="159"/>
      <c r="E25" s="159"/>
      <c r="F25" s="158">
        <f>103283.6-3831.25</f>
        <v>99452.35</v>
      </c>
      <c r="G25" s="158">
        <f t="shared" si="0"/>
        <v>98.256489912572079</v>
      </c>
      <c r="H25" s="162"/>
    </row>
    <row r="26" spans="1:8" x14ac:dyDescent="0.2">
      <c r="A26" s="55" t="s">
        <v>104</v>
      </c>
      <c r="B26" s="54" t="s">
        <v>105</v>
      </c>
      <c r="C26" s="206">
        <v>57286.28</v>
      </c>
      <c r="D26" s="159"/>
      <c r="E26" s="159"/>
      <c r="F26" s="158">
        <v>55196.42</v>
      </c>
      <c r="G26" s="158">
        <f t="shared" si="0"/>
        <v>96.351901362769581</v>
      </c>
      <c r="H26" s="162"/>
    </row>
    <row r="27" spans="1:8" x14ac:dyDescent="0.2">
      <c r="A27" s="55" t="s">
        <v>106</v>
      </c>
      <c r="B27" s="54" t="s">
        <v>107</v>
      </c>
      <c r="C27" s="206">
        <v>28087.32</v>
      </c>
      <c r="D27" s="159"/>
      <c r="E27" s="159"/>
      <c r="F27" s="158">
        <v>16913.36</v>
      </c>
      <c r="G27" s="158">
        <f t="shared" si="0"/>
        <v>60.217065921561762</v>
      </c>
      <c r="H27" s="162"/>
    </row>
    <row r="28" spans="1:8" x14ac:dyDescent="0.2">
      <c r="A28" s="55" t="s">
        <v>108</v>
      </c>
      <c r="B28" s="54" t="s">
        <v>109</v>
      </c>
      <c r="C28" s="215">
        <v>506.2</v>
      </c>
      <c r="D28" s="159"/>
      <c r="E28" s="159"/>
      <c r="F28" s="158">
        <v>4161.8</v>
      </c>
      <c r="G28" s="158">
        <f t="shared" si="0"/>
        <v>822.16515211378919</v>
      </c>
      <c r="H28" s="162"/>
    </row>
    <row r="29" spans="1:8" x14ac:dyDescent="0.2">
      <c r="A29" s="163" t="s">
        <v>110</v>
      </c>
      <c r="B29" s="164" t="s">
        <v>111</v>
      </c>
      <c r="C29" s="217">
        <f>SUM(C30:C35)</f>
        <v>111228.12</v>
      </c>
      <c r="D29" s="217"/>
      <c r="E29" s="217"/>
      <c r="F29" s="217">
        <f t="shared" ref="F29" si="1">SUM(F30:F35)</f>
        <v>145050.01</v>
      </c>
      <c r="G29" s="162">
        <f t="shared" si="0"/>
        <v>130.40767928110267</v>
      </c>
      <c r="H29" s="162"/>
    </row>
    <row r="30" spans="1:8" x14ac:dyDescent="0.2">
      <c r="A30" s="55" t="s">
        <v>112</v>
      </c>
      <c r="B30" s="54" t="s">
        <v>113</v>
      </c>
      <c r="C30" s="206">
        <v>21383.9</v>
      </c>
      <c r="D30" s="159"/>
      <c r="E30" s="159"/>
      <c r="F30" s="158">
        <f>13572.76+1262.07+661+2499.47+6226.25+555.86</f>
        <v>24777.41</v>
      </c>
      <c r="G30" s="158">
        <f t="shared" si="0"/>
        <v>115.86946253957416</v>
      </c>
      <c r="H30" s="162"/>
    </row>
    <row r="31" spans="1:8" x14ac:dyDescent="0.2">
      <c r="A31" s="55" t="s">
        <v>381</v>
      </c>
      <c r="B31" s="54" t="s">
        <v>382</v>
      </c>
      <c r="C31" s="206">
        <v>591.4</v>
      </c>
      <c r="D31" s="159"/>
      <c r="E31" s="159"/>
      <c r="F31" s="158">
        <v>625.80999999999995</v>
      </c>
      <c r="G31" s="158">
        <f t="shared" si="0"/>
        <v>105.81839702401081</v>
      </c>
      <c r="H31" s="162"/>
    </row>
    <row r="32" spans="1:8" x14ac:dyDescent="0.2">
      <c r="A32" s="55" t="s">
        <v>114</v>
      </c>
      <c r="B32" s="54" t="s">
        <v>115</v>
      </c>
      <c r="C32" s="206">
        <v>86857.79</v>
      </c>
      <c r="D32" s="159"/>
      <c r="E32" s="159"/>
      <c r="F32" s="158">
        <v>107675.77</v>
      </c>
      <c r="G32" s="158">
        <f t="shared" si="0"/>
        <v>123.96789050239478</v>
      </c>
      <c r="H32" s="162"/>
    </row>
    <row r="33" spans="1:8" x14ac:dyDescent="0.2">
      <c r="A33" s="55" t="s">
        <v>116</v>
      </c>
      <c r="B33" s="54" t="s">
        <v>117</v>
      </c>
      <c r="C33" s="206">
        <v>1634.13</v>
      </c>
      <c r="D33" s="159"/>
      <c r="E33" s="159"/>
      <c r="F33" s="158">
        <f>4245.28+3423.51</f>
        <v>7668.79</v>
      </c>
      <c r="G33" s="158">
        <f t="shared" si="0"/>
        <v>469.28885706767511</v>
      </c>
      <c r="H33" s="162"/>
    </row>
    <row r="34" spans="1:8" x14ac:dyDescent="0.2">
      <c r="A34" s="55" t="s">
        <v>118</v>
      </c>
      <c r="B34" s="54" t="s">
        <v>119</v>
      </c>
      <c r="C34" s="206">
        <v>760.9</v>
      </c>
      <c r="D34" s="159"/>
      <c r="E34" s="159"/>
      <c r="F34" s="158">
        <v>4302.2299999999996</v>
      </c>
      <c r="G34" s="158">
        <f t="shared" si="0"/>
        <v>565.41332632408978</v>
      </c>
      <c r="H34" s="162"/>
    </row>
    <row r="35" spans="1:8" x14ac:dyDescent="0.2">
      <c r="A35" s="55" t="s">
        <v>120</v>
      </c>
      <c r="B35" s="54" t="s">
        <v>121</v>
      </c>
      <c r="C35" s="215"/>
      <c r="D35" s="159"/>
      <c r="E35" s="159"/>
      <c r="F35" s="158"/>
      <c r="G35" s="158" t="e">
        <f t="shared" si="0"/>
        <v>#DIV/0!</v>
      </c>
      <c r="H35" s="162"/>
    </row>
    <row r="36" spans="1:8" x14ac:dyDescent="0.2">
      <c r="A36" s="163" t="s">
        <v>122</v>
      </c>
      <c r="B36" s="164" t="s">
        <v>123</v>
      </c>
      <c r="C36" s="217">
        <f>SUM(C37:C45)</f>
        <v>262026.38</v>
      </c>
      <c r="D36" s="160"/>
      <c r="E36" s="160"/>
      <c r="F36" s="162">
        <f>SUM(F37:F45)</f>
        <v>330164.10000000003</v>
      </c>
      <c r="G36" s="162">
        <f t="shared" si="0"/>
        <v>126.00414507882758</v>
      </c>
      <c r="H36" s="162"/>
    </row>
    <row r="37" spans="1:8" x14ac:dyDescent="0.2">
      <c r="A37" s="55" t="s">
        <v>124</v>
      </c>
      <c r="B37" s="54" t="s">
        <v>125</v>
      </c>
      <c r="C37" s="206">
        <v>11360.05</v>
      </c>
      <c r="D37" s="159"/>
      <c r="E37" s="159"/>
      <c r="F37" s="158">
        <v>14409.61</v>
      </c>
      <c r="G37" s="158">
        <f t="shared" si="0"/>
        <v>126.84460015580919</v>
      </c>
      <c r="H37" s="162"/>
    </row>
    <row r="38" spans="1:8" x14ac:dyDescent="0.2">
      <c r="A38" s="55" t="s">
        <v>126</v>
      </c>
      <c r="B38" s="54" t="s">
        <v>127</v>
      </c>
      <c r="C38" s="206">
        <v>14242.69</v>
      </c>
      <c r="D38" s="159"/>
      <c r="E38" s="159"/>
      <c r="F38" s="158">
        <f>3357.5+20775.45</f>
        <v>24132.95</v>
      </c>
      <c r="G38" s="158">
        <f t="shared" si="0"/>
        <v>169.44095532515274</v>
      </c>
      <c r="H38" s="162"/>
    </row>
    <row r="39" spans="1:8" x14ac:dyDescent="0.2">
      <c r="A39" s="55" t="s">
        <v>128</v>
      </c>
      <c r="B39" s="54" t="s">
        <v>129</v>
      </c>
      <c r="C39" s="206">
        <v>10429.34</v>
      </c>
      <c r="D39" s="159"/>
      <c r="E39" s="159"/>
      <c r="F39" s="158">
        <v>21311.38</v>
      </c>
      <c r="G39" s="158">
        <f t="shared" si="0"/>
        <v>204.34063900496099</v>
      </c>
      <c r="H39" s="162"/>
    </row>
    <row r="40" spans="1:8" x14ac:dyDescent="0.2">
      <c r="A40" s="55" t="s">
        <v>130</v>
      </c>
      <c r="B40" s="54" t="s">
        <v>131</v>
      </c>
      <c r="C40" s="206">
        <v>19232.740000000002</v>
      </c>
      <c r="D40" s="159"/>
      <c r="E40" s="159"/>
      <c r="F40" s="158">
        <f>2902.65+2970.77+364.38+12633.6</f>
        <v>18871.400000000001</v>
      </c>
      <c r="G40" s="158">
        <f t="shared" si="0"/>
        <v>98.121224536909452</v>
      </c>
      <c r="H40" s="162"/>
    </row>
    <row r="41" spans="1:8" x14ac:dyDescent="0.2">
      <c r="A41" s="55" t="s">
        <v>132</v>
      </c>
      <c r="B41" s="54" t="s">
        <v>133</v>
      </c>
      <c r="C41" s="206">
        <v>11256.68</v>
      </c>
      <c r="D41" s="159"/>
      <c r="E41" s="159"/>
      <c r="F41" s="158">
        <v>9223.73</v>
      </c>
      <c r="G41" s="158">
        <f t="shared" si="0"/>
        <v>81.94005692619848</v>
      </c>
      <c r="H41" s="162"/>
    </row>
    <row r="42" spans="1:8" x14ac:dyDescent="0.2">
      <c r="A42" s="55" t="s">
        <v>134</v>
      </c>
      <c r="B42" s="54" t="s">
        <v>135</v>
      </c>
      <c r="C42" s="206">
        <v>1205.3</v>
      </c>
      <c r="D42" s="159"/>
      <c r="E42" s="159"/>
      <c r="F42" s="158">
        <f>461.46+450</f>
        <v>911.46</v>
      </c>
      <c r="G42" s="158">
        <f t="shared" si="0"/>
        <v>75.621007218119971</v>
      </c>
      <c r="H42" s="162"/>
    </row>
    <row r="43" spans="1:8" x14ac:dyDescent="0.2">
      <c r="A43" s="55" t="s">
        <v>136</v>
      </c>
      <c r="B43" s="54" t="s">
        <v>137</v>
      </c>
      <c r="C43" s="206">
        <v>140523.21</v>
      </c>
      <c r="D43" s="159"/>
      <c r="E43" s="159"/>
      <c r="F43" s="158">
        <v>170637</v>
      </c>
      <c r="G43" s="158">
        <f t="shared" si="0"/>
        <v>121.42976238587207</v>
      </c>
      <c r="H43" s="162"/>
    </row>
    <row r="44" spans="1:8" x14ac:dyDescent="0.2">
      <c r="A44" s="55" t="s">
        <v>138</v>
      </c>
      <c r="B44" s="54" t="s">
        <v>139</v>
      </c>
      <c r="C44" s="206">
        <v>5815.72</v>
      </c>
      <c r="D44" s="159"/>
      <c r="E44" s="159"/>
      <c r="F44" s="158">
        <f>8004.45+1844.22</f>
        <v>9848.67</v>
      </c>
      <c r="G44" s="158">
        <f t="shared" si="0"/>
        <v>169.34567001162367</v>
      </c>
      <c r="H44" s="162"/>
    </row>
    <row r="45" spans="1:8" x14ac:dyDescent="0.2">
      <c r="A45" s="55" t="s">
        <v>140</v>
      </c>
      <c r="B45" s="54" t="s">
        <v>141</v>
      </c>
      <c r="C45" s="206">
        <v>47960.65</v>
      </c>
      <c r="D45" s="159"/>
      <c r="E45" s="159"/>
      <c r="F45" s="158">
        <v>60817.9</v>
      </c>
      <c r="G45" s="158">
        <f t="shared" si="0"/>
        <v>126.80791440482979</v>
      </c>
      <c r="H45" s="162"/>
    </row>
    <row r="46" spans="1:8" x14ac:dyDescent="0.2">
      <c r="A46" s="163" t="s">
        <v>142</v>
      </c>
      <c r="B46" s="164" t="s">
        <v>143</v>
      </c>
      <c r="C46" s="217">
        <f>+C47</f>
        <v>22349.06</v>
      </c>
      <c r="D46" s="217"/>
      <c r="E46" s="217"/>
      <c r="F46" s="217">
        <f t="shared" ref="F46" si="2">+F47</f>
        <v>34183.18</v>
      </c>
      <c r="G46" s="162">
        <f t="shared" si="0"/>
        <v>152.95130980900316</v>
      </c>
      <c r="H46" s="162"/>
    </row>
    <row r="47" spans="1:8" x14ac:dyDescent="0.2">
      <c r="A47" s="55" t="s">
        <v>144</v>
      </c>
      <c r="B47" s="54" t="s">
        <v>143</v>
      </c>
      <c r="C47" s="206">
        <v>22349.06</v>
      </c>
      <c r="D47" s="159"/>
      <c r="E47" s="159"/>
      <c r="F47" s="158">
        <v>34183.18</v>
      </c>
      <c r="G47" s="158">
        <f t="shared" si="0"/>
        <v>152.95130980900316</v>
      </c>
      <c r="H47" s="162"/>
    </row>
    <row r="48" spans="1:8" x14ac:dyDescent="0.2">
      <c r="A48" s="163" t="s">
        <v>145</v>
      </c>
      <c r="B48" s="164" t="s">
        <v>146</v>
      </c>
      <c r="C48" s="217">
        <f>SUM(C49:C55)</f>
        <v>30544.55</v>
      </c>
      <c r="D48" s="160"/>
      <c r="E48" s="160"/>
      <c r="F48" s="162">
        <f>SUM(F49:F55)</f>
        <v>27244.940000000002</v>
      </c>
      <c r="G48" s="162">
        <f t="shared" si="0"/>
        <v>89.197385458289631</v>
      </c>
      <c r="H48" s="162"/>
    </row>
    <row r="49" spans="1:8" ht="21" customHeight="1" x14ac:dyDescent="0.2">
      <c r="A49" s="55" t="s">
        <v>147</v>
      </c>
      <c r="B49" s="54" t="s">
        <v>148</v>
      </c>
      <c r="C49" s="215"/>
      <c r="D49" s="159"/>
      <c r="E49" s="159"/>
      <c r="F49" s="158"/>
      <c r="G49" s="158"/>
      <c r="H49" s="162"/>
    </row>
    <row r="50" spans="1:8" x14ac:dyDescent="0.2">
      <c r="A50" s="55" t="s">
        <v>149</v>
      </c>
      <c r="B50" s="54" t="s">
        <v>150</v>
      </c>
      <c r="C50" s="206">
        <v>4157.38</v>
      </c>
      <c r="D50" s="159"/>
      <c r="E50" s="159"/>
      <c r="F50" s="158">
        <v>4841.3500000000004</v>
      </c>
      <c r="G50" s="158">
        <f t="shared" si="0"/>
        <v>116.45194810192959</v>
      </c>
      <c r="H50" s="162"/>
    </row>
    <row r="51" spans="1:8" x14ac:dyDescent="0.2">
      <c r="A51" s="55" t="s">
        <v>151</v>
      </c>
      <c r="B51" s="54" t="s">
        <v>152</v>
      </c>
      <c r="C51" s="206">
        <v>19532.97</v>
      </c>
      <c r="D51" s="159"/>
      <c r="E51" s="159"/>
      <c r="F51" s="158">
        <v>10028.52</v>
      </c>
      <c r="G51" s="158">
        <f t="shared" si="0"/>
        <v>51.341501062050469</v>
      </c>
      <c r="H51" s="162"/>
    </row>
    <row r="52" spans="1:8" x14ac:dyDescent="0.2">
      <c r="A52" s="55" t="s">
        <v>153</v>
      </c>
      <c r="B52" s="54" t="s">
        <v>154</v>
      </c>
      <c r="C52" s="206">
        <v>2018.87</v>
      </c>
      <c r="D52" s="159"/>
      <c r="E52" s="159"/>
      <c r="F52" s="158">
        <f>492.19+1014.02</f>
        <v>1506.21</v>
      </c>
      <c r="G52" s="158">
        <f t="shared" si="0"/>
        <v>74.606586853041563</v>
      </c>
      <c r="H52" s="162"/>
    </row>
    <row r="53" spans="1:8" x14ac:dyDescent="0.2">
      <c r="A53" s="55" t="s">
        <v>155</v>
      </c>
      <c r="B53" s="54" t="s">
        <v>156</v>
      </c>
      <c r="C53" s="206">
        <v>1982.8</v>
      </c>
      <c r="D53" s="159"/>
      <c r="E53" s="159"/>
      <c r="F53" s="158">
        <v>254.88</v>
      </c>
      <c r="G53" s="158">
        <f t="shared" si="0"/>
        <v>12.854549122453097</v>
      </c>
      <c r="H53" s="162"/>
    </row>
    <row r="54" spans="1:8" x14ac:dyDescent="0.2">
      <c r="A54" s="55" t="s">
        <v>157</v>
      </c>
      <c r="B54" s="54" t="s">
        <v>158</v>
      </c>
      <c r="C54" s="206">
        <v>0</v>
      </c>
      <c r="D54" s="159"/>
      <c r="E54" s="159"/>
      <c r="F54" s="158"/>
      <c r="G54" s="158" t="e">
        <f t="shared" si="0"/>
        <v>#DIV/0!</v>
      </c>
      <c r="H54" s="162"/>
    </row>
    <row r="55" spans="1:8" x14ac:dyDescent="0.2">
      <c r="A55" s="55" t="s">
        <v>159</v>
      </c>
      <c r="B55" s="54" t="s">
        <v>146</v>
      </c>
      <c r="C55" s="206">
        <v>2852.53</v>
      </c>
      <c r="D55" s="159"/>
      <c r="E55" s="159"/>
      <c r="F55" s="158">
        <f>8815.13+1798.85</f>
        <v>10613.98</v>
      </c>
      <c r="G55" s="158">
        <f t="shared" si="0"/>
        <v>372.0900393685605</v>
      </c>
      <c r="H55" s="162"/>
    </row>
    <row r="56" spans="1:8" x14ac:dyDescent="0.2">
      <c r="A56" s="165" t="s">
        <v>160</v>
      </c>
      <c r="B56" s="166" t="s">
        <v>161</v>
      </c>
      <c r="C56" s="217">
        <f>+C57+C60</f>
        <v>4406.2800000000007</v>
      </c>
      <c r="D56" s="147">
        <v>4000</v>
      </c>
      <c r="E56" s="147">
        <v>4000</v>
      </c>
      <c r="F56" s="162">
        <f>+F57+F60</f>
        <v>1643.02</v>
      </c>
      <c r="G56" s="162">
        <f t="shared" si="0"/>
        <v>37.288143286400313</v>
      </c>
      <c r="H56" s="162">
        <f>+F56/D56*100</f>
        <v>41.075499999999998</v>
      </c>
    </row>
    <row r="57" spans="1:8" x14ac:dyDescent="0.2">
      <c r="A57" s="163" t="s">
        <v>383</v>
      </c>
      <c r="B57" s="164" t="s">
        <v>384</v>
      </c>
      <c r="C57" s="217"/>
      <c r="D57" s="160"/>
      <c r="E57" s="160"/>
      <c r="F57" s="162"/>
      <c r="G57" s="162"/>
      <c r="H57" s="162"/>
    </row>
    <row r="58" spans="1:8" ht="25.5" x14ac:dyDescent="0.2">
      <c r="A58" s="55" t="s">
        <v>385</v>
      </c>
      <c r="B58" s="54" t="s">
        <v>386</v>
      </c>
      <c r="C58" s="215"/>
      <c r="D58" s="159"/>
      <c r="E58" s="159"/>
      <c r="F58" s="158"/>
      <c r="G58" s="158"/>
      <c r="H58" s="162"/>
    </row>
    <row r="59" spans="1:8" ht="25.5" x14ac:dyDescent="0.2">
      <c r="A59" s="55" t="s">
        <v>387</v>
      </c>
      <c r="B59" s="54" t="s">
        <v>388</v>
      </c>
      <c r="C59" s="215"/>
      <c r="D59" s="159"/>
      <c r="E59" s="159"/>
      <c r="F59" s="158"/>
      <c r="G59" s="158"/>
      <c r="H59" s="162"/>
    </row>
    <row r="60" spans="1:8" x14ac:dyDescent="0.2">
      <c r="A60" s="163" t="s">
        <v>162</v>
      </c>
      <c r="B60" s="164" t="s">
        <v>163</v>
      </c>
      <c r="C60" s="217">
        <f>SUM(C61:C64)</f>
        <v>4406.2800000000007</v>
      </c>
      <c r="D60" s="160"/>
      <c r="E60" s="160"/>
      <c r="F60" s="162">
        <f>SUM(F61:F64)</f>
        <v>1643.02</v>
      </c>
      <c r="G60" s="162">
        <f t="shared" si="0"/>
        <v>37.288143286400313</v>
      </c>
      <c r="H60" s="162"/>
    </row>
    <row r="61" spans="1:8" x14ac:dyDescent="0.2">
      <c r="A61" s="55" t="s">
        <v>164</v>
      </c>
      <c r="B61" s="54" t="s">
        <v>165</v>
      </c>
      <c r="C61" s="206">
        <v>1609.28</v>
      </c>
      <c r="D61" s="159"/>
      <c r="E61" s="159"/>
      <c r="F61" s="158">
        <v>1638.74</v>
      </c>
      <c r="G61" s="158">
        <f t="shared" si="0"/>
        <v>101.83063233247167</v>
      </c>
      <c r="H61" s="162"/>
    </row>
    <row r="62" spans="1:8" ht="25.5" x14ac:dyDescent="0.2">
      <c r="A62" s="55" t="s">
        <v>389</v>
      </c>
      <c r="B62" s="54" t="s">
        <v>390</v>
      </c>
      <c r="C62" s="206">
        <v>2536.27</v>
      </c>
      <c r="D62" s="159"/>
      <c r="E62" s="159"/>
      <c r="F62" s="158"/>
      <c r="G62" s="158">
        <f t="shared" si="0"/>
        <v>0</v>
      </c>
      <c r="H62" s="162"/>
    </row>
    <row r="63" spans="1:8" x14ac:dyDescent="0.2">
      <c r="A63" s="55" t="s">
        <v>391</v>
      </c>
      <c r="B63" s="54" t="s">
        <v>392</v>
      </c>
      <c r="C63" s="206">
        <v>260.73</v>
      </c>
      <c r="D63" s="159"/>
      <c r="E63" s="159"/>
      <c r="F63" s="158">
        <v>4.28</v>
      </c>
      <c r="G63" s="158">
        <f t="shared" si="0"/>
        <v>1.6415448931845205</v>
      </c>
      <c r="H63" s="162"/>
    </row>
    <row r="64" spans="1:8" x14ac:dyDescent="0.2">
      <c r="A64" s="55" t="s">
        <v>393</v>
      </c>
      <c r="B64" s="54" t="s">
        <v>394</v>
      </c>
      <c r="C64" s="206"/>
      <c r="D64" s="159"/>
      <c r="E64" s="159"/>
      <c r="F64" s="158"/>
      <c r="G64" s="158"/>
      <c r="H64" s="162"/>
    </row>
    <row r="65" spans="1:8" x14ac:dyDescent="0.2">
      <c r="A65" s="165" t="s">
        <v>166</v>
      </c>
      <c r="B65" s="166" t="s">
        <v>167</v>
      </c>
      <c r="C65" s="217"/>
      <c r="D65" s="147"/>
      <c r="E65" s="147"/>
      <c r="F65" s="162"/>
      <c r="G65" s="162"/>
      <c r="H65" s="162"/>
    </row>
    <row r="66" spans="1:8" x14ac:dyDescent="0.2">
      <c r="A66" s="163" t="s">
        <v>395</v>
      </c>
      <c r="B66" s="164" t="s">
        <v>396</v>
      </c>
      <c r="C66" s="217"/>
      <c r="D66" s="160"/>
      <c r="E66" s="160"/>
      <c r="F66" s="162"/>
      <c r="G66" s="162"/>
      <c r="H66" s="162"/>
    </row>
    <row r="67" spans="1:8" ht="25.5" x14ac:dyDescent="0.2">
      <c r="A67" s="55" t="s">
        <v>397</v>
      </c>
      <c r="B67" s="54" t="s">
        <v>398</v>
      </c>
      <c r="C67" s="215"/>
      <c r="D67" s="159"/>
      <c r="E67" s="159"/>
      <c r="F67" s="158"/>
      <c r="G67" s="157"/>
      <c r="H67" s="162"/>
    </row>
    <row r="68" spans="1:8" ht="25.5" x14ac:dyDescent="0.2">
      <c r="A68" s="163" t="s">
        <v>168</v>
      </c>
      <c r="B68" s="164" t="s">
        <v>169</v>
      </c>
      <c r="C68" s="217"/>
      <c r="D68" s="160"/>
      <c r="E68" s="160"/>
      <c r="F68" s="162"/>
      <c r="G68" s="162"/>
      <c r="H68" s="162"/>
    </row>
    <row r="69" spans="1:8" ht="25.5" x14ac:dyDescent="0.2">
      <c r="A69" s="55" t="s">
        <v>399</v>
      </c>
      <c r="B69" s="54" t="s">
        <v>400</v>
      </c>
      <c r="C69" s="215"/>
      <c r="D69" s="159"/>
      <c r="E69" s="159"/>
      <c r="F69" s="158"/>
      <c r="G69" s="157"/>
      <c r="H69" s="162"/>
    </row>
    <row r="70" spans="1:8" x14ac:dyDescent="0.2">
      <c r="A70" s="55" t="s">
        <v>170</v>
      </c>
      <c r="B70" s="54" t="s">
        <v>171</v>
      </c>
      <c r="C70" s="215"/>
      <c r="D70" s="159"/>
      <c r="E70" s="159"/>
      <c r="F70" s="158"/>
      <c r="G70" s="158"/>
      <c r="H70" s="162"/>
    </row>
    <row r="71" spans="1:8" ht="25.5" x14ac:dyDescent="0.2">
      <c r="A71" s="163" t="s">
        <v>172</v>
      </c>
      <c r="B71" s="164" t="s">
        <v>173</v>
      </c>
      <c r="C71" s="217"/>
      <c r="D71" s="160"/>
      <c r="E71" s="160"/>
      <c r="F71" s="162"/>
      <c r="G71" s="162"/>
      <c r="H71" s="162"/>
    </row>
    <row r="72" spans="1:8" ht="25.5" x14ac:dyDescent="0.2">
      <c r="A72" s="55" t="s">
        <v>174</v>
      </c>
      <c r="B72" s="54" t="s">
        <v>173</v>
      </c>
      <c r="C72" s="215"/>
      <c r="D72" s="159"/>
      <c r="E72" s="159"/>
      <c r="F72" s="158"/>
      <c r="G72" s="158"/>
      <c r="H72" s="162"/>
    </row>
    <row r="73" spans="1:8" x14ac:dyDescent="0.2">
      <c r="A73" s="165" t="s">
        <v>175</v>
      </c>
      <c r="B73" s="166" t="s">
        <v>176</v>
      </c>
      <c r="C73" s="217">
        <f>+C74+C76+C78+C80+C83+C85</f>
        <v>7764.34</v>
      </c>
      <c r="D73" s="147">
        <v>14400</v>
      </c>
      <c r="E73" s="147">
        <v>14400</v>
      </c>
      <c r="F73" s="162">
        <f>+F74+F76+F78+F80+F83+F85</f>
        <v>3026.61</v>
      </c>
      <c r="G73" s="162">
        <f t="shared" ref="G73:G127" si="3">+F73/C73*100</f>
        <v>38.980905009311805</v>
      </c>
      <c r="H73" s="162">
        <f>+F73/D73*100</f>
        <v>21.018125000000001</v>
      </c>
    </row>
    <row r="74" spans="1:8" x14ac:dyDescent="0.2">
      <c r="A74" s="163" t="s">
        <v>177</v>
      </c>
      <c r="B74" s="164" t="s">
        <v>178</v>
      </c>
      <c r="C74" s="217">
        <f>+C75</f>
        <v>106.24</v>
      </c>
      <c r="D74" s="160"/>
      <c r="E74" s="160"/>
      <c r="F74" s="162">
        <f>+F75</f>
        <v>0</v>
      </c>
      <c r="G74" s="162">
        <f t="shared" si="3"/>
        <v>0</v>
      </c>
      <c r="H74" s="162"/>
    </row>
    <row r="75" spans="1:8" x14ac:dyDescent="0.2">
      <c r="A75" s="55" t="s">
        <v>179</v>
      </c>
      <c r="B75" s="54" t="s">
        <v>180</v>
      </c>
      <c r="C75" s="216">
        <v>106.24</v>
      </c>
      <c r="D75" s="159"/>
      <c r="E75" s="159"/>
      <c r="F75" s="157"/>
      <c r="G75" s="158"/>
      <c r="H75" s="162"/>
    </row>
    <row r="76" spans="1:8" ht="25.5" x14ac:dyDescent="0.2">
      <c r="A76" s="163" t="s">
        <v>401</v>
      </c>
      <c r="B76" s="164" t="s">
        <v>402</v>
      </c>
      <c r="C76" s="217"/>
      <c r="D76" s="160"/>
      <c r="E76" s="160"/>
      <c r="F76" s="162"/>
      <c r="G76" s="162"/>
      <c r="H76" s="162"/>
    </row>
    <row r="77" spans="1:8" ht="25.5" x14ac:dyDescent="0.2">
      <c r="A77" s="55" t="s">
        <v>403</v>
      </c>
      <c r="B77" s="54" t="s">
        <v>404</v>
      </c>
      <c r="C77" s="216"/>
      <c r="D77" s="159"/>
      <c r="E77" s="159"/>
      <c r="F77" s="157"/>
      <c r="G77" s="158"/>
      <c r="H77" s="162"/>
    </row>
    <row r="78" spans="1:8" x14ac:dyDescent="0.2">
      <c r="A78" s="163" t="s">
        <v>181</v>
      </c>
      <c r="B78" s="164" t="s">
        <v>182</v>
      </c>
      <c r="C78" s="217">
        <f>+C79</f>
        <v>0</v>
      </c>
      <c r="D78" s="160"/>
      <c r="E78" s="160"/>
      <c r="F78" s="162">
        <f>+F79</f>
        <v>0</v>
      </c>
      <c r="G78" s="162"/>
      <c r="H78" s="162"/>
    </row>
    <row r="79" spans="1:8" x14ac:dyDescent="0.2">
      <c r="A79" s="55" t="s">
        <v>183</v>
      </c>
      <c r="B79" s="54" t="s">
        <v>184</v>
      </c>
      <c r="C79" s="206"/>
      <c r="D79" s="159"/>
      <c r="E79" s="159"/>
      <c r="F79" s="157"/>
      <c r="G79" s="158"/>
      <c r="H79" s="162"/>
    </row>
    <row r="80" spans="1:8" x14ac:dyDescent="0.2">
      <c r="A80" s="163" t="s">
        <v>185</v>
      </c>
      <c r="B80" s="164" t="s">
        <v>186</v>
      </c>
      <c r="C80" s="217"/>
      <c r="D80" s="160"/>
      <c r="E80" s="160"/>
      <c r="F80" s="162"/>
      <c r="G80" s="162"/>
      <c r="H80" s="162"/>
    </row>
    <row r="81" spans="1:8" x14ac:dyDescent="0.2">
      <c r="A81" s="55" t="s">
        <v>187</v>
      </c>
      <c r="B81" s="54" t="s">
        <v>188</v>
      </c>
      <c r="C81" s="215"/>
      <c r="D81" s="159"/>
      <c r="E81" s="159"/>
      <c r="F81" s="158"/>
      <c r="G81" s="158"/>
      <c r="H81" s="162"/>
    </row>
    <row r="82" spans="1:8" ht="25.5" x14ac:dyDescent="0.2">
      <c r="A82" s="55" t="s">
        <v>189</v>
      </c>
      <c r="B82" s="54" t="s">
        <v>190</v>
      </c>
      <c r="C82" s="216"/>
      <c r="D82" s="159"/>
      <c r="E82" s="159"/>
      <c r="F82" s="157"/>
      <c r="G82" s="158"/>
      <c r="H82" s="162"/>
    </row>
    <row r="83" spans="1:8" x14ac:dyDescent="0.2">
      <c r="A83" s="163" t="s">
        <v>191</v>
      </c>
      <c r="B83" s="164" t="s">
        <v>192</v>
      </c>
      <c r="C83" s="217"/>
      <c r="D83" s="160"/>
      <c r="E83" s="160"/>
      <c r="F83" s="162"/>
      <c r="G83" s="162"/>
      <c r="H83" s="162"/>
    </row>
    <row r="84" spans="1:8" x14ac:dyDescent="0.2">
      <c r="A84" s="55" t="s">
        <v>193</v>
      </c>
      <c r="B84" s="54" t="s">
        <v>194</v>
      </c>
      <c r="C84" s="215"/>
      <c r="D84" s="159"/>
      <c r="E84" s="159"/>
      <c r="F84" s="158"/>
      <c r="G84" s="158" t="e">
        <f t="shared" si="3"/>
        <v>#DIV/0!</v>
      </c>
      <c r="H84" s="162"/>
    </row>
    <row r="85" spans="1:8" x14ac:dyDescent="0.2">
      <c r="A85" s="163" t="s">
        <v>195</v>
      </c>
      <c r="B85" s="164" t="s">
        <v>196</v>
      </c>
      <c r="C85" s="217">
        <f>SUM(C86:C89)</f>
        <v>7658.1</v>
      </c>
      <c r="D85" s="160"/>
      <c r="E85" s="160"/>
      <c r="F85" s="162">
        <f>SUM(F86:F89)</f>
        <v>3026.61</v>
      </c>
      <c r="G85" s="162">
        <f t="shared" si="3"/>
        <v>39.521682923962864</v>
      </c>
      <c r="H85" s="162"/>
    </row>
    <row r="86" spans="1:8" ht="25.5" x14ac:dyDescent="0.2">
      <c r="A86" s="55" t="s">
        <v>197</v>
      </c>
      <c r="B86" s="54" t="s">
        <v>198</v>
      </c>
      <c r="C86" s="206">
        <v>7658.1</v>
      </c>
      <c r="D86" s="159"/>
      <c r="E86" s="159"/>
      <c r="F86" s="158">
        <v>3026.61</v>
      </c>
      <c r="G86" s="158">
        <f t="shared" si="3"/>
        <v>39.521682923962864</v>
      </c>
      <c r="H86" s="162"/>
    </row>
    <row r="87" spans="1:8" ht="25.5" x14ac:dyDescent="0.2">
      <c r="A87" s="55" t="s">
        <v>199</v>
      </c>
      <c r="B87" s="54" t="s">
        <v>200</v>
      </c>
      <c r="C87" s="215"/>
      <c r="D87" s="159"/>
      <c r="E87" s="159"/>
      <c r="F87" s="158"/>
      <c r="G87" s="158"/>
      <c r="H87" s="162"/>
    </row>
    <row r="88" spans="1:8" ht="25.5" x14ac:dyDescent="0.2">
      <c r="A88" s="55" t="s">
        <v>405</v>
      </c>
      <c r="B88" s="54" t="s">
        <v>292</v>
      </c>
      <c r="C88" s="215"/>
      <c r="D88" s="160"/>
      <c r="E88" s="160"/>
      <c r="F88" s="158"/>
      <c r="G88" s="158"/>
      <c r="H88" s="162"/>
    </row>
    <row r="89" spans="1:8" ht="25.5" x14ac:dyDescent="0.2">
      <c r="A89" s="55" t="s">
        <v>201</v>
      </c>
      <c r="B89" s="54" t="s">
        <v>202</v>
      </c>
      <c r="C89" s="215"/>
      <c r="D89" s="160"/>
      <c r="E89" s="160"/>
      <c r="F89" s="158"/>
      <c r="G89" s="158"/>
      <c r="H89" s="162"/>
    </row>
    <row r="90" spans="1:8" ht="25.5" x14ac:dyDescent="0.2">
      <c r="A90" s="165" t="s">
        <v>203</v>
      </c>
      <c r="B90" s="166" t="s">
        <v>204</v>
      </c>
      <c r="C90" s="217">
        <f>+C91+C94</f>
        <v>42125</v>
      </c>
      <c r="D90" s="147">
        <v>14500</v>
      </c>
      <c r="E90" s="147">
        <v>14500</v>
      </c>
      <c r="F90" s="162">
        <f>+F91+F94</f>
        <v>14500</v>
      </c>
      <c r="G90" s="162">
        <f t="shared" si="3"/>
        <v>34.421364985163208</v>
      </c>
      <c r="H90" s="162"/>
    </row>
    <row r="91" spans="1:8" x14ac:dyDescent="0.2">
      <c r="A91" s="163" t="s">
        <v>406</v>
      </c>
      <c r="B91" s="164" t="s">
        <v>407</v>
      </c>
      <c r="C91" s="217"/>
      <c r="D91" s="160"/>
      <c r="E91" s="160"/>
      <c r="F91" s="162"/>
      <c r="G91" s="162"/>
      <c r="H91" s="162"/>
    </row>
    <row r="92" spans="1:8" ht="25.5" x14ac:dyDescent="0.2">
      <c r="A92" s="55" t="s">
        <v>408</v>
      </c>
      <c r="B92" s="54" t="s">
        <v>409</v>
      </c>
      <c r="C92" s="215"/>
      <c r="D92" s="160"/>
      <c r="E92" s="160"/>
      <c r="F92" s="158"/>
      <c r="G92" s="158"/>
      <c r="H92" s="162"/>
    </row>
    <row r="93" spans="1:8" ht="25.5" x14ac:dyDescent="0.2">
      <c r="A93" s="55" t="s">
        <v>410</v>
      </c>
      <c r="B93" s="54" t="s">
        <v>411</v>
      </c>
      <c r="C93" s="215"/>
      <c r="D93" s="160"/>
      <c r="E93" s="160"/>
      <c r="F93" s="158"/>
      <c r="G93" s="158"/>
      <c r="H93" s="162"/>
    </row>
    <row r="94" spans="1:8" x14ac:dyDescent="0.2">
      <c r="A94" s="163" t="s">
        <v>205</v>
      </c>
      <c r="B94" s="164" t="s">
        <v>206</v>
      </c>
      <c r="C94" s="217">
        <f>SUM(C95:C97)</f>
        <v>42125</v>
      </c>
      <c r="D94" s="160"/>
      <c r="E94" s="160"/>
      <c r="F94" s="162">
        <f>SUM(F95:F97)</f>
        <v>14500</v>
      </c>
      <c r="G94" s="162">
        <f t="shared" si="3"/>
        <v>34.421364985163208</v>
      </c>
      <c r="H94" s="162"/>
    </row>
    <row r="95" spans="1:8" x14ac:dyDescent="0.2">
      <c r="A95" s="55" t="s">
        <v>207</v>
      </c>
      <c r="B95" s="54" t="s">
        <v>208</v>
      </c>
      <c r="C95" s="206">
        <v>42125</v>
      </c>
      <c r="D95" s="160"/>
      <c r="E95" s="160"/>
      <c r="F95" s="158">
        <v>14500</v>
      </c>
      <c r="G95" s="158">
        <f t="shared" si="3"/>
        <v>34.421364985163208</v>
      </c>
      <c r="H95" s="162"/>
    </row>
    <row r="96" spans="1:8" x14ac:dyDescent="0.2">
      <c r="A96" s="55" t="s">
        <v>412</v>
      </c>
      <c r="B96" s="54" t="s">
        <v>413</v>
      </c>
      <c r="C96" s="215"/>
      <c r="D96" s="160"/>
      <c r="E96" s="160"/>
      <c r="F96" s="158"/>
      <c r="G96" s="158"/>
      <c r="H96" s="162"/>
    </row>
    <row r="97" spans="1:8" x14ac:dyDescent="0.2">
      <c r="A97" s="55" t="s">
        <v>414</v>
      </c>
      <c r="B97" s="54" t="s">
        <v>415</v>
      </c>
      <c r="C97" s="215"/>
      <c r="D97" s="160"/>
      <c r="E97" s="160"/>
      <c r="F97" s="158"/>
      <c r="G97" s="158"/>
      <c r="H97" s="162"/>
    </row>
    <row r="98" spans="1:8" x14ac:dyDescent="0.2">
      <c r="A98" s="165" t="s">
        <v>209</v>
      </c>
      <c r="B98" s="166" t="s">
        <v>210</v>
      </c>
      <c r="C98" s="217">
        <f>+C99+C103+C107</f>
        <v>2370</v>
      </c>
      <c r="D98" s="147">
        <v>3000</v>
      </c>
      <c r="E98" s="147">
        <v>3000</v>
      </c>
      <c r="F98" s="162">
        <f>+F99+F103+F107</f>
        <v>1580</v>
      </c>
      <c r="G98" s="162">
        <f t="shared" si="3"/>
        <v>66.666666666666657</v>
      </c>
      <c r="H98" s="162">
        <f>+F98/D98*100</f>
        <v>52.666666666666664</v>
      </c>
    </row>
    <row r="99" spans="1:8" x14ac:dyDescent="0.2">
      <c r="A99" s="163" t="s">
        <v>211</v>
      </c>
      <c r="B99" s="164" t="s">
        <v>212</v>
      </c>
      <c r="C99" s="217">
        <f>SUM(C100:C102)</f>
        <v>2370</v>
      </c>
      <c r="D99" s="160"/>
      <c r="E99" s="160"/>
      <c r="F99" s="162">
        <f>SUM(F100:F102)</f>
        <v>1580</v>
      </c>
      <c r="G99" s="162">
        <f t="shared" si="3"/>
        <v>66.666666666666657</v>
      </c>
      <c r="H99" s="162"/>
    </row>
    <row r="100" spans="1:8" x14ac:dyDescent="0.2">
      <c r="A100" s="55" t="s">
        <v>213</v>
      </c>
      <c r="B100" s="54" t="s">
        <v>214</v>
      </c>
      <c r="C100" s="206">
        <v>2370</v>
      </c>
      <c r="D100" s="160"/>
      <c r="E100" s="160"/>
      <c r="F100" s="158">
        <v>1580</v>
      </c>
      <c r="G100" s="158">
        <f t="shared" si="3"/>
        <v>66.666666666666657</v>
      </c>
      <c r="H100" s="162"/>
    </row>
    <row r="101" spans="1:8" x14ac:dyDescent="0.2">
      <c r="A101" s="55" t="s">
        <v>416</v>
      </c>
      <c r="B101" s="54" t="s">
        <v>417</v>
      </c>
      <c r="C101" s="206"/>
      <c r="D101" s="160"/>
      <c r="E101" s="160"/>
      <c r="F101" s="158"/>
      <c r="G101" s="158" t="e">
        <f t="shared" si="3"/>
        <v>#DIV/0!</v>
      </c>
      <c r="H101" s="162"/>
    </row>
    <row r="102" spans="1:8" x14ac:dyDescent="0.2">
      <c r="A102" s="55" t="s">
        <v>215</v>
      </c>
      <c r="B102" s="54" t="s">
        <v>216</v>
      </c>
      <c r="C102" s="215"/>
      <c r="D102" s="160"/>
      <c r="E102" s="160"/>
      <c r="F102" s="158"/>
      <c r="G102" s="158"/>
      <c r="H102" s="162"/>
    </row>
    <row r="103" spans="1:8" x14ac:dyDescent="0.2">
      <c r="A103" s="163" t="s">
        <v>217</v>
      </c>
      <c r="B103" s="164" t="s">
        <v>218</v>
      </c>
      <c r="C103" s="217"/>
      <c r="D103" s="160"/>
      <c r="E103" s="160"/>
      <c r="F103" s="162"/>
      <c r="G103" s="162"/>
      <c r="H103" s="162"/>
    </row>
    <row r="104" spans="1:8" x14ac:dyDescent="0.2">
      <c r="A104" s="55" t="s">
        <v>219</v>
      </c>
      <c r="B104" s="54" t="s">
        <v>220</v>
      </c>
      <c r="C104" s="215"/>
      <c r="D104" s="160"/>
      <c r="E104" s="160"/>
      <c r="F104" s="53"/>
      <c r="G104" s="158"/>
      <c r="H104" s="162"/>
    </row>
    <row r="105" spans="1:8" x14ac:dyDescent="0.2">
      <c r="A105" s="55" t="s">
        <v>418</v>
      </c>
      <c r="B105" s="54" t="s">
        <v>419</v>
      </c>
      <c r="C105" s="215"/>
      <c r="D105" s="160"/>
      <c r="E105" s="160"/>
      <c r="F105" s="53"/>
      <c r="G105" s="158"/>
      <c r="H105" s="162"/>
    </row>
    <row r="106" spans="1:8" x14ac:dyDescent="0.2">
      <c r="A106" s="55" t="s">
        <v>221</v>
      </c>
      <c r="B106" s="54" t="s">
        <v>222</v>
      </c>
      <c r="C106" s="215"/>
      <c r="D106" s="160"/>
      <c r="E106" s="160"/>
      <c r="F106" s="53"/>
      <c r="G106" s="158"/>
      <c r="H106" s="162"/>
    </row>
    <row r="107" spans="1:8" x14ac:dyDescent="0.2">
      <c r="A107" s="163" t="s">
        <v>223</v>
      </c>
      <c r="B107" s="164" t="s">
        <v>224</v>
      </c>
      <c r="C107" s="217"/>
      <c r="D107" s="160"/>
      <c r="E107" s="160"/>
      <c r="F107" s="162"/>
      <c r="G107" s="162"/>
      <c r="H107" s="162"/>
    </row>
    <row r="108" spans="1:8" x14ac:dyDescent="0.2">
      <c r="A108" s="55" t="s">
        <v>420</v>
      </c>
      <c r="B108" s="54" t="s">
        <v>421</v>
      </c>
      <c r="C108" s="215"/>
      <c r="D108" s="160"/>
      <c r="E108" s="160"/>
      <c r="F108" s="53"/>
      <c r="G108" s="158"/>
      <c r="H108" s="162"/>
    </row>
    <row r="109" spans="1:8" x14ac:dyDescent="0.2">
      <c r="A109" s="55" t="s">
        <v>422</v>
      </c>
      <c r="B109" s="54" t="s">
        <v>423</v>
      </c>
      <c r="C109" s="215"/>
      <c r="D109" s="160"/>
      <c r="E109" s="160"/>
      <c r="F109" s="53"/>
      <c r="G109" s="158"/>
      <c r="H109" s="162"/>
    </row>
    <row r="110" spans="1:8" x14ac:dyDescent="0.2">
      <c r="A110" s="55" t="s">
        <v>424</v>
      </c>
      <c r="B110" s="54" t="s">
        <v>425</v>
      </c>
      <c r="C110" s="215"/>
      <c r="D110" s="160"/>
      <c r="E110" s="160"/>
      <c r="F110" s="53"/>
      <c r="G110" s="158"/>
      <c r="H110" s="162"/>
    </row>
    <row r="111" spans="1:8" x14ac:dyDescent="0.2">
      <c r="A111" s="55" t="s">
        <v>225</v>
      </c>
      <c r="B111" s="54" t="s">
        <v>226</v>
      </c>
      <c r="C111" s="215"/>
      <c r="D111" s="160"/>
      <c r="E111" s="160"/>
      <c r="F111" s="53"/>
      <c r="G111" s="158"/>
      <c r="H111" s="162"/>
    </row>
    <row r="112" spans="1:8" x14ac:dyDescent="0.2">
      <c r="A112" s="55" t="s">
        <v>426</v>
      </c>
      <c r="B112" s="54" t="s">
        <v>333</v>
      </c>
      <c r="C112" s="215"/>
      <c r="D112" s="160"/>
      <c r="E112" s="160"/>
      <c r="F112" s="53"/>
      <c r="G112" s="158"/>
      <c r="H112" s="162"/>
    </row>
    <row r="113" spans="1:8" x14ac:dyDescent="0.2">
      <c r="A113" s="177" t="s">
        <v>57</v>
      </c>
      <c r="B113" s="178" t="s">
        <v>227</v>
      </c>
      <c r="C113" s="179">
        <f>+C114+C121+C148+C151+C154</f>
        <v>18058.670000000002</v>
      </c>
      <c r="D113" s="180">
        <f>+D114+D121+D148+D151+D154</f>
        <v>174055</v>
      </c>
      <c r="E113" s="180">
        <f>+E114+E121+E148+E151+E154</f>
        <v>174055</v>
      </c>
      <c r="F113" s="179">
        <f>+F114+F121+F148+F151+F154</f>
        <v>119716.51</v>
      </c>
      <c r="G113" s="179">
        <f t="shared" si="3"/>
        <v>662.93093566691232</v>
      </c>
      <c r="H113" s="179">
        <f>+F113/D113*100</f>
        <v>68.780850880468819</v>
      </c>
    </row>
    <row r="114" spans="1:8" x14ac:dyDescent="0.2">
      <c r="A114" s="165" t="s">
        <v>59</v>
      </c>
      <c r="B114" s="166" t="s">
        <v>228</v>
      </c>
      <c r="C114" s="217">
        <f>+C115+C117</f>
        <v>1470.15</v>
      </c>
      <c r="D114" s="147">
        <v>10000</v>
      </c>
      <c r="E114" s="147">
        <v>10000</v>
      </c>
      <c r="F114" s="162">
        <f>+F115+F117</f>
        <v>256.99</v>
      </c>
      <c r="G114" s="162">
        <f t="shared" si="3"/>
        <v>17.480529197700914</v>
      </c>
      <c r="H114" s="217">
        <f>+F114/D114*100</f>
        <v>2.5699000000000001</v>
      </c>
    </row>
    <row r="115" spans="1:8" x14ac:dyDescent="0.2">
      <c r="A115" s="163" t="s">
        <v>427</v>
      </c>
      <c r="B115" s="164" t="s">
        <v>428</v>
      </c>
      <c r="C115" s="217"/>
      <c r="D115" s="160"/>
      <c r="E115" s="160"/>
      <c r="F115" s="162"/>
      <c r="G115" s="162"/>
      <c r="H115" s="162"/>
    </row>
    <row r="116" spans="1:8" x14ac:dyDescent="0.2">
      <c r="A116" s="55" t="s">
        <v>429</v>
      </c>
      <c r="B116" s="54" t="s">
        <v>344</v>
      </c>
      <c r="C116" s="215"/>
      <c r="D116" s="160"/>
      <c r="E116" s="160"/>
      <c r="F116" s="158"/>
      <c r="G116" s="158"/>
      <c r="H116" s="162"/>
    </row>
    <row r="117" spans="1:8" x14ac:dyDescent="0.2">
      <c r="A117" s="163" t="s">
        <v>229</v>
      </c>
      <c r="B117" s="164" t="s">
        <v>230</v>
      </c>
      <c r="C117" s="217">
        <f>+C118+C119+C120</f>
        <v>1470.15</v>
      </c>
      <c r="D117" s="160"/>
      <c r="E117" s="160"/>
      <c r="F117" s="162">
        <f>+F118+F119+F120</f>
        <v>256.99</v>
      </c>
      <c r="G117" s="162">
        <f t="shared" si="3"/>
        <v>17.480529197700914</v>
      </c>
      <c r="H117" s="162"/>
    </row>
    <row r="118" spans="1:8" x14ac:dyDescent="0.2">
      <c r="A118" s="55" t="s">
        <v>231</v>
      </c>
      <c r="B118" s="54" t="s">
        <v>232</v>
      </c>
      <c r="C118" s="208">
        <v>1470.15</v>
      </c>
      <c r="D118" s="160"/>
      <c r="E118" s="160"/>
      <c r="F118" s="158">
        <v>256.99</v>
      </c>
      <c r="G118" s="158">
        <f t="shared" si="3"/>
        <v>17.480529197700914</v>
      </c>
      <c r="H118" s="162"/>
    </row>
    <row r="119" spans="1:8" x14ac:dyDescent="0.2">
      <c r="A119" s="55" t="s">
        <v>430</v>
      </c>
      <c r="B119" s="54" t="s">
        <v>348</v>
      </c>
      <c r="C119" s="215"/>
      <c r="D119" s="160"/>
      <c r="E119" s="160"/>
      <c r="F119" s="158"/>
      <c r="G119" s="158" t="e">
        <f t="shared" si="3"/>
        <v>#DIV/0!</v>
      </c>
      <c r="H119" s="162"/>
    </row>
    <row r="120" spans="1:8" x14ac:dyDescent="0.2">
      <c r="A120" s="55" t="s">
        <v>431</v>
      </c>
      <c r="B120" s="54" t="s">
        <v>432</v>
      </c>
      <c r="C120" s="215"/>
      <c r="D120" s="160"/>
      <c r="E120" s="160"/>
      <c r="F120" s="158"/>
      <c r="G120" s="158" t="e">
        <f t="shared" si="3"/>
        <v>#DIV/0!</v>
      </c>
      <c r="H120" s="162"/>
    </row>
    <row r="121" spans="1:8" x14ac:dyDescent="0.2">
      <c r="A121" s="165" t="s">
        <v>233</v>
      </c>
      <c r="B121" s="166" t="s">
        <v>234</v>
      </c>
      <c r="C121" s="217">
        <f>+C122+C126+C134+C137+C141+C144</f>
        <v>16588.52</v>
      </c>
      <c r="D121" s="222">
        <v>164055</v>
      </c>
      <c r="E121" s="222">
        <v>164055</v>
      </c>
      <c r="F121" s="162">
        <f>+F122+F126+F134+F137+F141+F144</f>
        <v>119459.51999999999</v>
      </c>
      <c r="G121" s="162">
        <f t="shared" si="3"/>
        <v>720.1336828119687</v>
      </c>
      <c r="H121" s="162">
        <f>+F121/D121*100</f>
        <v>72.816750480021938</v>
      </c>
    </row>
    <row r="122" spans="1:8" x14ac:dyDescent="0.2">
      <c r="A122" s="163" t="s">
        <v>235</v>
      </c>
      <c r="B122" s="164" t="s">
        <v>236</v>
      </c>
      <c r="C122" s="217"/>
      <c r="D122" s="160"/>
      <c r="E122" s="160"/>
      <c r="F122" s="162"/>
      <c r="G122" s="162"/>
      <c r="H122" s="162"/>
    </row>
    <row r="123" spans="1:8" x14ac:dyDescent="0.2">
      <c r="A123" s="55" t="s">
        <v>433</v>
      </c>
      <c r="B123" s="54" t="s">
        <v>354</v>
      </c>
      <c r="C123" s="215"/>
      <c r="D123" s="160"/>
      <c r="E123" s="160"/>
      <c r="F123" s="158"/>
      <c r="G123" s="158"/>
      <c r="H123" s="162"/>
    </row>
    <row r="124" spans="1:8" x14ac:dyDescent="0.2">
      <c r="A124" s="55" t="s">
        <v>237</v>
      </c>
      <c r="B124" s="54" t="s">
        <v>238</v>
      </c>
      <c r="C124" s="215"/>
      <c r="D124" s="160"/>
      <c r="E124" s="160"/>
      <c r="F124" s="158"/>
      <c r="G124" s="158"/>
      <c r="H124" s="162"/>
    </row>
    <row r="125" spans="1:8" x14ac:dyDescent="0.2">
      <c r="A125" s="55" t="s">
        <v>434</v>
      </c>
      <c r="B125" s="54" t="s">
        <v>435</v>
      </c>
      <c r="C125" s="215"/>
      <c r="D125" s="160"/>
      <c r="E125" s="160"/>
      <c r="F125" s="158"/>
      <c r="G125" s="158"/>
      <c r="H125" s="162"/>
    </row>
    <row r="126" spans="1:8" x14ac:dyDescent="0.2">
      <c r="A126" s="163" t="s">
        <v>239</v>
      </c>
      <c r="B126" s="164" t="s">
        <v>240</v>
      </c>
      <c r="C126" s="217">
        <f>SUM(C127:C133)</f>
        <v>14469.99</v>
      </c>
      <c r="D126" s="160"/>
      <c r="E126" s="160"/>
      <c r="F126" s="162">
        <f>SUM(F127:F133)</f>
        <v>116959.67999999999</v>
      </c>
      <c r="G126" s="162">
        <f t="shared" si="3"/>
        <v>808.29136716749622</v>
      </c>
      <c r="H126" s="162"/>
    </row>
    <row r="127" spans="1:8" x14ac:dyDescent="0.2">
      <c r="A127" s="55" t="s">
        <v>241</v>
      </c>
      <c r="B127" s="54" t="s">
        <v>242</v>
      </c>
      <c r="C127" s="206">
        <v>12885.74</v>
      </c>
      <c r="D127" s="160"/>
      <c r="E127" s="160"/>
      <c r="F127" s="158">
        <f>104734.94+1990.65+5221</f>
        <v>111946.59</v>
      </c>
      <c r="G127" s="158">
        <f t="shared" si="3"/>
        <v>868.76337719059984</v>
      </c>
      <c r="H127" s="162"/>
    </row>
    <row r="128" spans="1:8" x14ac:dyDescent="0.2">
      <c r="A128" s="55" t="s">
        <v>436</v>
      </c>
      <c r="B128" s="54" t="s">
        <v>437</v>
      </c>
      <c r="C128" s="206"/>
      <c r="D128" s="160"/>
      <c r="E128" s="160"/>
      <c r="F128" s="158">
        <v>300</v>
      </c>
      <c r="G128" s="158"/>
      <c r="H128" s="162"/>
    </row>
    <row r="129" spans="1:8" x14ac:dyDescent="0.2">
      <c r="A129" s="55" t="s">
        <v>438</v>
      </c>
      <c r="B129" s="54" t="s">
        <v>439</v>
      </c>
      <c r="C129" s="206"/>
      <c r="D129" s="160"/>
      <c r="E129" s="160"/>
      <c r="F129" s="158"/>
      <c r="G129" s="158"/>
      <c r="H129" s="162"/>
    </row>
    <row r="130" spans="1:8" x14ac:dyDescent="0.2">
      <c r="A130" s="55" t="s">
        <v>243</v>
      </c>
      <c r="B130" s="54" t="s">
        <v>244</v>
      </c>
      <c r="C130" s="206">
        <v>1584.25</v>
      </c>
      <c r="D130" s="160"/>
      <c r="E130" s="160"/>
      <c r="F130" s="158">
        <v>4713.09</v>
      </c>
      <c r="G130" s="158"/>
      <c r="H130" s="162"/>
    </row>
    <row r="131" spans="1:8" x14ac:dyDescent="0.2">
      <c r="A131" s="55" t="s">
        <v>440</v>
      </c>
      <c r="B131" s="54" t="s">
        <v>441</v>
      </c>
      <c r="C131" s="206"/>
      <c r="D131" s="160"/>
      <c r="E131" s="160"/>
      <c r="F131" s="158"/>
      <c r="G131" s="158"/>
      <c r="H131" s="162"/>
    </row>
    <row r="132" spans="1:8" x14ac:dyDescent="0.2">
      <c r="A132" s="55" t="s">
        <v>442</v>
      </c>
      <c r="B132" s="54" t="s">
        <v>360</v>
      </c>
      <c r="C132" s="206"/>
      <c r="D132" s="160"/>
      <c r="E132" s="160"/>
      <c r="F132" s="158"/>
      <c r="G132" s="158"/>
      <c r="H132" s="162"/>
    </row>
    <row r="133" spans="1:8" x14ac:dyDescent="0.2">
      <c r="A133" s="55" t="s">
        <v>443</v>
      </c>
      <c r="B133" s="54" t="s">
        <v>362</v>
      </c>
      <c r="C133" s="206"/>
      <c r="D133" s="160"/>
      <c r="E133" s="160"/>
      <c r="F133" s="158"/>
      <c r="G133" s="158"/>
      <c r="H133" s="162"/>
    </row>
    <row r="134" spans="1:8" x14ac:dyDescent="0.2">
      <c r="A134" s="163" t="s">
        <v>444</v>
      </c>
      <c r="B134" s="164" t="s">
        <v>445</v>
      </c>
      <c r="C134" s="217"/>
      <c r="D134" s="160"/>
      <c r="E134" s="160"/>
      <c r="F134" s="162"/>
      <c r="G134" s="162"/>
      <c r="H134" s="162"/>
    </row>
    <row r="135" spans="1:8" x14ac:dyDescent="0.2">
      <c r="A135" s="55" t="s">
        <v>446</v>
      </c>
      <c r="B135" s="54" t="s">
        <v>366</v>
      </c>
      <c r="C135" s="215"/>
      <c r="D135" s="160"/>
      <c r="E135" s="160"/>
      <c r="F135" s="158"/>
      <c r="G135" s="158"/>
      <c r="H135" s="162"/>
    </row>
    <row r="136" spans="1:8" x14ac:dyDescent="0.2">
      <c r="A136" s="55" t="s">
        <v>447</v>
      </c>
      <c r="B136" s="54" t="s">
        <v>368</v>
      </c>
      <c r="C136" s="215"/>
      <c r="D136" s="160"/>
      <c r="E136" s="160"/>
      <c r="F136" s="158"/>
      <c r="G136" s="158"/>
      <c r="H136" s="162"/>
    </row>
    <row r="137" spans="1:8" x14ac:dyDescent="0.2">
      <c r="A137" s="163" t="s">
        <v>448</v>
      </c>
      <c r="B137" s="164" t="s">
        <v>449</v>
      </c>
      <c r="C137" s="217">
        <f>+C138+C139+C140</f>
        <v>2118.5300000000002</v>
      </c>
      <c r="D137" s="160"/>
      <c r="E137" s="160"/>
      <c r="F137" s="162">
        <f>+F138+F139+F140</f>
        <v>2499.84</v>
      </c>
      <c r="G137" s="162">
        <f t="shared" ref="G137:G138" si="4">+F137/C137*100</f>
        <v>117.99880105544882</v>
      </c>
      <c r="H137" s="162"/>
    </row>
    <row r="138" spans="1:8" x14ac:dyDescent="0.2">
      <c r="A138" s="55" t="s">
        <v>450</v>
      </c>
      <c r="B138" s="54" t="s">
        <v>451</v>
      </c>
      <c r="C138" s="206">
        <v>2118.5300000000002</v>
      </c>
      <c r="D138" s="160"/>
      <c r="E138" s="160"/>
      <c r="F138" s="158">
        <v>2499.84</v>
      </c>
      <c r="G138" s="158">
        <f t="shared" si="4"/>
        <v>117.99880105544882</v>
      </c>
      <c r="H138" s="162"/>
    </row>
    <row r="139" spans="1:8" x14ac:dyDescent="0.2">
      <c r="A139" s="55" t="s">
        <v>452</v>
      </c>
      <c r="B139" s="54" t="s">
        <v>453</v>
      </c>
      <c r="C139" s="215"/>
      <c r="D139" s="160"/>
      <c r="E139" s="160"/>
      <c r="F139" s="158"/>
      <c r="G139" s="158"/>
      <c r="H139" s="162"/>
    </row>
    <row r="140" spans="1:8" x14ac:dyDescent="0.2">
      <c r="A140" s="55" t="s">
        <v>454</v>
      </c>
      <c r="B140" s="54" t="s">
        <v>455</v>
      </c>
      <c r="C140" s="215"/>
      <c r="D140" s="160"/>
      <c r="E140" s="160"/>
      <c r="F140" s="158"/>
      <c r="G140" s="158"/>
      <c r="H140" s="162"/>
    </row>
    <row r="141" spans="1:8" x14ac:dyDescent="0.2">
      <c r="A141" s="163" t="s">
        <v>456</v>
      </c>
      <c r="B141" s="164" t="s">
        <v>457</v>
      </c>
      <c r="C141" s="217"/>
      <c r="D141" s="160"/>
      <c r="E141" s="160"/>
      <c r="F141" s="162"/>
      <c r="G141" s="162"/>
      <c r="H141" s="162"/>
    </row>
    <row r="142" spans="1:8" x14ac:dyDescent="0.2">
      <c r="A142" s="55" t="s">
        <v>458</v>
      </c>
      <c r="B142" s="54" t="s">
        <v>459</v>
      </c>
      <c r="C142" s="215"/>
      <c r="D142" s="160"/>
      <c r="E142" s="160"/>
      <c r="F142" s="53"/>
      <c r="G142" s="158"/>
      <c r="H142" s="162"/>
    </row>
    <row r="143" spans="1:8" x14ac:dyDescent="0.2">
      <c r="A143" s="55" t="s">
        <v>460</v>
      </c>
      <c r="B143" s="54" t="s">
        <v>372</v>
      </c>
      <c r="C143" s="215"/>
      <c r="D143" s="160"/>
      <c r="E143" s="160"/>
      <c r="F143" s="53"/>
      <c r="G143" s="158"/>
      <c r="H143" s="162"/>
    </row>
    <row r="144" spans="1:8" x14ac:dyDescent="0.2">
      <c r="A144" s="163" t="s">
        <v>245</v>
      </c>
      <c r="B144" s="164" t="s">
        <v>246</v>
      </c>
      <c r="C144" s="217">
        <f>+C145+C146+C147</f>
        <v>0</v>
      </c>
      <c r="D144" s="160"/>
      <c r="E144" s="160"/>
      <c r="F144" s="162"/>
      <c r="G144" s="162"/>
      <c r="H144" s="162"/>
    </row>
    <row r="145" spans="1:8" x14ac:dyDescent="0.2">
      <c r="A145" s="55" t="s">
        <v>247</v>
      </c>
      <c r="B145" s="54" t="s">
        <v>248</v>
      </c>
      <c r="C145" s="215"/>
      <c r="D145" s="160"/>
      <c r="E145" s="160"/>
      <c r="F145" s="158"/>
      <c r="G145" s="158"/>
      <c r="H145" s="162"/>
    </row>
    <row r="146" spans="1:8" x14ac:dyDescent="0.2">
      <c r="A146" s="55" t="s">
        <v>461</v>
      </c>
      <c r="B146" s="54" t="s">
        <v>462</v>
      </c>
      <c r="C146" s="215"/>
      <c r="D146" s="160"/>
      <c r="E146" s="160"/>
      <c r="F146" s="158"/>
      <c r="G146" s="158"/>
      <c r="H146" s="162"/>
    </row>
    <row r="147" spans="1:8" x14ac:dyDescent="0.2">
      <c r="A147" s="55" t="s">
        <v>463</v>
      </c>
      <c r="B147" s="54" t="s">
        <v>464</v>
      </c>
      <c r="C147" s="215"/>
      <c r="D147" s="160"/>
      <c r="E147" s="160"/>
      <c r="F147" s="158"/>
      <c r="G147" s="158"/>
      <c r="H147" s="162"/>
    </row>
    <row r="148" spans="1:8" ht="25.5" x14ac:dyDescent="0.2">
      <c r="A148" s="165" t="s">
        <v>60</v>
      </c>
      <c r="B148" s="166" t="s">
        <v>465</v>
      </c>
      <c r="C148" s="217"/>
      <c r="D148" s="147"/>
      <c r="E148" s="147"/>
      <c r="F148" s="162"/>
      <c r="G148" s="162"/>
      <c r="H148" s="162"/>
    </row>
    <row r="149" spans="1:8" x14ac:dyDescent="0.2">
      <c r="A149" s="163" t="s">
        <v>466</v>
      </c>
      <c r="B149" s="164" t="s">
        <v>467</v>
      </c>
      <c r="C149" s="217"/>
      <c r="D149" s="160"/>
      <c r="E149" s="160"/>
      <c r="F149" s="162"/>
      <c r="G149" s="162"/>
      <c r="H149" s="162"/>
    </row>
    <row r="150" spans="1:8" x14ac:dyDescent="0.2">
      <c r="A150" s="55" t="s">
        <v>468</v>
      </c>
      <c r="B150" s="54" t="s">
        <v>469</v>
      </c>
      <c r="C150" s="215"/>
      <c r="D150" s="160"/>
      <c r="E150" s="160"/>
      <c r="F150" s="158"/>
      <c r="G150" s="158"/>
      <c r="H150" s="162"/>
    </row>
    <row r="151" spans="1:8" x14ac:dyDescent="0.2">
      <c r="A151" s="165" t="s">
        <v>470</v>
      </c>
      <c r="B151" s="166" t="s">
        <v>471</v>
      </c>
      <c r="C151" s="217"/>
      <c r="D151" s="147"/>
      <c r="E151" s="147"/>
      <c r="F151" s="162"/>
      <c r="G151" s="162"/>
      <c r="H151" s="162"/>
    </row>
    <row r="152" spans="1:8" x14ac:dyDescent="0.2">
      <c r="A152" s="163" t="s">
        <v>472</v>
      </c>
      <c r="B152" s="164" t="s">
        <v>473</v>
      </c>
      <c r="C152" s="217"/>
      <c r="D152" s="160"/>
      <c r="E152" s="160"/>
      <c r="F152" s="162"/>
      <c r="G152" s="162"/>
      <c r="H152" s="162"/>
    </row>
    <row r="153" spans="1:8" x14ac:dyDescent="0.2">
      <c r="A153" s="55" t="s">
        <v>474</v>
      </c>
      <c r="B153" s="54" t="s">
        <v>475</v>
      </c>
      <c r="C153" s="215"/>
      <c r="D153" s="160"/>
      <c r="E153" s="160"/>
      <c r="F153" s="53"/>
      <c r="G153" s="158"/>
      <c r="H153" s="162"/>
    </row>
    <row r="154" spans="1:8" x14ac:dyDescent="0.2">
      <c r="A154" s="165" t="s">
        <v>249</v>
      </c>
      <c r="B154" s="166" t="s">
        <v>250</v>
      </c>
      <c r="C154" s="217"/>
      <c r="D154" s="147"/>
      <c r="E154" s="147"/>
      <c r="F154" s="162"/>
      <c r="G154" s="162"/>
      <c r="H154" s="162"/>
    </row>
    <row r="155" spans="1:8" x14ac:dyDescent="0.2">
      <c r="A155" s="163" t="s">
        <v>251</v>
      </c>
      <c r="B155" s="164" t="s">
        <v>252</v>
      </c>
      <c r="C155" s="217"/>
      <c r="D155" s="160"/>
      <c r="E155" s="160"/>
      <c r="F155" s="162"/>
      <c r="G155" s="162"/>
      <c r="H155" s="162"/>
    </row>
    <row r="156" spans="1:8" x14ac:dyDescent="0.2">
      <c r="A156" s="55" t="s">
        <v>253</v>
      </c>
      <c r="B156" s="54" t="s">
        <v>252</v>
      </c>
      <c r="C156" s="158"/>
      <c r="D156" s="160"/>
      <c r="E156" s="160"/>
      <c r="F156" s="53"/>
      <c r="G156" s="158"/>
      <c r="H156" s="162"/>
    </row>
    <row r="157" spans="1:8" x14ac:dyDescent="0.2">
      <c r="A157" s="163" t="s">
        <v>476</v>
      </c>
      <c r="B157" s="164" t="s">
        <v>477</v>
      </c>
      <c r="C157" s="162"/>
      <c r="D157" s="160"/>
      <c r="E157" s="160"/>
      <c r="F157" s="162"/>
      <c r="G157" s="162"/>
      <c r="H157" s="162"/>
    </row>
    <row r="158" spans="1:8" x14ac:dyDescent="0.2">
      <c r="A158" s="55" t="s">
        <v>478</v>
      </c>
      <c r="B158" s="54" t="s">
        <v>477</v>
      </c>
      <c r="C158" s="158"/>
      <c r="D158" s="160"/>
      <c r="E158" s="160"/>
      <c r="F158" s="53"/>
      <c r="G158" s="158"/>
      <c r="H158" s="162"/>
    </row>
    <row r="159" spans="1:8" x14ac:dyDescent="0.2">
      <c r="A159" s="163" t="s">
        <v>479</v>
      </c>
      <c r="B159" s="164" t="s">
        <v>480</v>
      </c>
      <c r="C159" s="162"/>
      <c r="D159" s="160"/>
      <c r="E159" s="160"/>
      <c r="F159" s="162"/>
      <c r="G159" s="162"/>
      <c r="H159" s="162"/>
    </row>
    <row r="160" spans="1:8" x14ac:dyDescent="0.2">
      <c r="A160" s="55" t="s">
        <v>481</v>
      </c>
      <c r="B160" s="54" t="s">
        <v>480</v>
      </c>
      <c r="C160" s="158"/>
      <c r="D160" s="160"/>
      <c r="E160" s="160"/>
      <c r="F160" s="53"/>
      <c r="G160" s="158"/>
      <c r="H160" s="162"/>
    </row>
    <row r="161" spans="1:8" x14ac:dyDescent="0.2">
      <c r="A161" s="163" t="s">
        <v>482</v>
      </c>
      <c r="B161" s="164" t="s">
        <v>483</v>
      </c>
      <c r="C161" s="162"/>
      <c r="D161" s="160"/>
      <c r="E161" s="160"/>
      <c r="F161" s="162"/>
      <c r="G161" s="162"/>
      <c r="H161" s="162"/>
    </row>
    <row r="162" spans="1:8" x14ac:dyDescent="0.2">
      <c r="A162" s="55" t="s">
        <v>484</v>
      </c>
      <c r="B162" s="54" t="s">
        <v>483</v>
      </c>
      <c r="C162" s="158"/>
      <c r="D162" s="160"/>
      <c r="E162" s="160"/>
      <c r="F162" s="53"/>
      <c r="G162" s="158"/>
      <c r="H162" s="162"/>
    </row>
    <row r="163" spans="1:8" x14ac:dyDescent="0.2">
      <c r="H163" s="135"/>
    </row>
    <row r="166" spans="1:8" x14ac:dyDescent="0.2">
      <c r="A166" s="31" t="s">
        <v>539</v>
      </c>
    </row>
    <row r="167" spans="1:8" x14ac:dyDescent="0.2">
      <c r="A167" s="31" t="s">
        <v>533</v>
      </c>
    </row>
    <row r="168" spans="1:8" x14ac:dyDescent="0.2">
      <c r="A168" s="31" t="s">
        <v>534</v>
      </c>
    </row>
    <row r="169" spans="1:8" x14ac:dyDescent="0.2">
      <c r="A169" s="31" t="s">
        <v>535</v>
      </c>
    </row>
    <row r="170" spans="1:8" x14ac:dyDescent="0.2">
      <c r="A170" s="31" t="s">
        <v>536</v>
      </c>
    </row>
    <row r="171" spans="1:8" x14ac:dyDescent="0.2">
      <c r="A171" s="31" t="s">
        <v>537</v>
      </c>
    </row>
    <row r="172" spans="1:8" x14ac:dyDescent="0.2">
      <c r="A172" s="31" t="s">
        <v>538</v>
      </c>
    </row>
  </sheetData>
  <protectedRanges>
    <protectedRange algorithmName="SHA-512" hashValue="R8frfBQ/MhInQYm+jLEgMwgPwCkrGPIUaxyIFLRSCn/+fIsUU6bmJDax/r7gTh2PEAEvgODYwg0rRRjqSM/oww==" saltValue="tbZzHO5lCNHCDH5y3XGZag==" spinCount="100000" sqref="F30:F34" name="Range1_5"/>
  </protectedRanges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2"/>
  <sheetViews>
    <sheetView topLeftCell="A4" zoomScaleNormal="10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D22" sqref="D22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10" width="15.42578125" style="31" bestFit="1" customWidth="1"/>
    <col min="11" max="11" width="9.42578125" style="31" bestFit="1" customWidth="1"/>
    <col min="12" max="12" width="11.7109375" style="31" customWidth="1"/>
    <col min="13" max="255" width="9.140625" style="31"/>
    <col min="256" max="256" width="19" style="31" customWidth="1"/>
    <col min="257" max="257" width="57.5703125" style="31" customWidth="1"/>
    <col min="258" max="258" width="16.42578125" style="31" customWidth="1"/>
    <col min="259" max="260" width="17.7109375" style="31" bestFit="1" customWidth="1"/>
    <col min="261" max="261" width="15.7109375" style="31" customWidth="1"/>
    <col min="262" max="262" width="15.7109375" style="31" bestFit="1" customWidth="1"/>
    <col min="263" max="263" width="19.7109375" style="31" customWidth="1"/>
    <col min="264" max="264" width="15.42578125" style="31" bestFit="1" customWidth="1"/>
    <col min="265" max="265" width="9.42578125" style="31" bestFit="1" customWidth="1"/>
    <col min="266" max="266" width="15.42578125" style="31" bestFit="1" customWidth="1"/>
    <col min="267" max="267" width="9.42578125" style="31" bestFit="1" customWidth="1"/>
    <col min="268" max="511" width="9.140625" style="31"/>
    <col min="512" max="512" width="19" style="31" customWidth="1"/>
    <col min="513" max="513" width="57.5703125" style="31" customWidth="1"/>
    <col min="514" max="514" width="16.42578125" style="31" customWidth="1"/>
    <col min="515" max="516" width="17.7109375" style="31" bestFit="1" customWidth="1"/>
    <col min="517" max="517" width="15.7109375" style="31" customWidth="1"/>
    <col min="518" max="518" width="15.7109375" style="31" bestFit="1" customWidth="1"/>
    <col min="519" max="519" width="19.7109375" style="31" customWidth="1"/>
    <col min="520" max="520" width="15.42578125" style="31" bestFit="1" customWidth="1"/>
    <col min="521" max="521" width="9.42578125" style="31" bestFit="1" customWidth="1"/>
    <col min="522" max="522" width="15.42578125" style="31" bestFit="1" customWidth="1"/>
    <col min="523" max="523" width="9.42578125" style="31" bestFit="1" customWidth="1"/>
    <col min="524" max="767" width="9.140625" style="31"/>
    <col min="768" max="768" width="19" style="31" customWidth="1"/>
    <col min="769" max="769" width="57.5703125" style="31" customWidth="1"/>
    <col min="770" max="770" width="16.42578125" style="31" customWidth="1"/>
    <col min="771" max="772" width="17.7109375" style="31" bestFit="1" customWidth="1"/>
    <col min="773" max="773" width="15.7109375" style="31" customWidth="1"/>
    <col min="774" max="774" width="15.7109375" style="31" bestFit="1" customWidth="1"/>
    <col min="775" max="775" width="19.7109375" style="31" customWidth="1"/>
    <col min="776" max="776" width="15.42578125" style="31" bestFit="1" customWidth="1"/>
    <col min="777" max="777" width="9.42578125" style="31" bestFit="1" customWidth="1"/>
    <col min="778" max="778" width="15.42578125" style="31" bestFit="1" customWidth="1"/>
    <col min="779" max="779" width="9.42578125" style="31" bestFit="1" customWidth="1"/>
    <col min="780" max="1023" width="9.140625" style="31"/>
    <col min="1024" max="1024" width="19" style="31" customWidth="1"/>
    <col min="1025" max="1025" width="57.5703125" style="31" customWidth="1"/>
    <col min="1026" max="1026" width="16.42578125" style="31" customWidth="1"/>
    <col min="1027" max="1028" width="17.7109375" style="31" bestFit="1" customWidth="1"/>
    <col min="1029" max="1029" width="15.7109375" style="31" customWidth="1"/>
    <col min="1030" max="1030" width="15.7109375" style="31" bestFit="1" customWidth="1"/>
    <col min="1031" max="1031" width="19.7109375" style="31" customWidth="1"/>
    <col min="1032" max="1032" width="15.42578125" style="31" bestFit="1" customWidth="1"/>
    <col min="1033" max="1033" width="9.42578125" style="31" bestFit="1" customWidth="1"/>
    <col min="1034" max="1034" width="15.42578125" style="31" bestFit="1" customWidth="1"/>
    <col min="1035" max="1035" width="9.42578125" style="31" bestFit="1" customWidth="1"/>
    <col min="1036" max="1279" width="9.140625" style="31"/>
    <col min="1280" max="1280" width="19" style="31" customWidth="1"/>
    <col min="1281" max="1281" width="57.5703125" style="31" customWidth="1"/>
    <col min="1282" max="1282" width="16.42578125" style="31" customWidth="1"/>
    <col min="1283" max="1284" width="17.7109375" style="31" bestFit="1" customWidth="1"/>
    <col min="1285" max="1285" width="15.7109375" style="31" customWidth="1"/>
    <col min="1286" max="1286" width="15.7109375" style="31" bestFit="1" customWidth="1"/>
    <col min="1287" max="1287" width="19.7109375" style="31" customWidth="1"/>
    <col min="1288" max="1288" width="15.42578125" style="31" bestFit="1" customWidth="1"/>
    <col min="1289" max="1289" width="9.42578125" style="31" bestFit="1" customWidth="1"/>
    <col min="1290" max="1290" width="15.42578125" style="31" bestFit="1" customWidth="1"/>
    <col min="1291" max="1291" width="9.42578125" style="31" bestFit="1" customWidth="1"/>
    <col min="1292" max="1535" width="9.140625" style="31"/>
    <col min="1536" max="1536" width="19" style="31" customWidth="1"/>
    <col min="1537" max="1537" width="57.5703125" style="31" customWidth="1"/>
    <col min="1538" max="1538" width="16.42578125" style="31" customWidth="1"/>
    <col min="1539" max="1540" width="17.7109375" style="31" bestFit="1" customWidth="1"/>
    <col min="1541" max="1541" width="15.7109375" style="31" customWidth="1"/>
    <col min="1542" max="1542" width="15.7109375" style="31" bestFit="1" customWidth="1"/>
    <col min="1543" max="1543" width="19.7109375" style="31" customWidth="1"/>
    <col min="1544" max="1544" width="15.42578125" style="31" bestFit="1" customWidth="1"/>
    <col min="1545" max="1545" width="9.42578125" style="31" bestFit="1" customWidth="1"/>
    <col min="1546" max="1546" width="15.42578125" style="31" bestFit="1" customWidth="1"/>
    <col min="1547" max="1547" width="9.42578125" style="31" bestFit="1" customWidth="1"/>
    <col min="1548" max="1791" width="9.140625" style="31"/>
    <col min="1792" max="1792" width="19" style="31" customWidth="1"/>
    <col min="1793" max="1793" width="57.5703125" style="31" customWidth="1"/>
    <col min="1794" max="1794" width="16.42578125" style="31" customWidth="1"/>
    <col min="1795" max="1796" width="17.7109375" style="31" bestFit="1" customWidth="1"/>
    <col min="1797" max="1797" width="15.7109375" style="31" customWidth="1"/>
    <col min="1798" max="1798" width="15.7109375" style="31" bestFit="1" customWidth="1"/>
    <col min="1799" max="1799" width="19.7109375" style="31" customWidth="1"/>
    <col min="1800" max="1800" width="15.42578125" style="31" bestFit="1" customWidth="1"/>
    <col min="1801" max="1801" width="9.42578125" style="31" bestFit="1" customWidth="1"/>
    <col min="1802" max="1802" width="15.42578125" style="31" bestFit="1" customWidth="1"/>
    <col min="1803" max="1803" width="9.42578125" style="31" bestFit="1" customWidth="1"/>
    <col min="1804" max="2047" width="9.140625" style="31"/>
    <col min="2048" max="2048" width="19" style="31" customWidth="1"/>
    <col min="2049" max="2049" width="57.5703125" style="31" customWidth="1"/>
    <col min="2050" max="2050" width="16.42578125" style="31" customWidth="1"/>
    <col min="2051" max="2052" width="17.7109375" style="31" bestFit="1" customWidth="1"/>
    <col min="2053" max="2053" width="15.7109375" style="31" customWidth="1"/>
    <col min="2054" max="2054" width="15.7109375" style="31" bestFit="1" customWidth="1"/>
    <col min="2055" max="2055" width="19.7109375" style="31" customWidth="1"/>
    <col min="2056" max="2056" width="15.42578125" style="31" bestFit="1" customWidth="1"/>
    <col min="2057" max="2057" width="9.42578125" style="31" bestFit="1" customWidth="1"/>
    <col min="2058" max="2058" width="15.42578125" style="31" bestFit="1" customWidth="1"/>
    <col min="2059" max="2059" width="9.42578125" style="31" bestFit="1" customWidth="1"/>
    <col min="2060" max="2303" width="9.140625" style="31"/>
    <col min="2304" max="2304" width="19" style="31" customWidth="1"/>
    <col min="2305" max="2305" width="57.5703125" style="31" customWidth="1"/>
    <col min="2306" max="2306" width="16.42578125" style="31" customWidth="1"/>
    <col min="2307" max="2308" width="17.7109375" style="31" bestFit="1" customWidth="1"/>
    <col min="2309" max="2309" width="15.7109375" style="31" customWidth="1"/>
    <col min="2310" max="2310" width="15.7109375" style="31" bestFit="1" customWidth="1"/>
    <col min="2311" max="2311" width="19.7109375" style="31" customWidth="1"/>
    <col min="2312" max="2312" width="15.42578125" style="31" bestFit="1" customWidth="1"/>
    <col min="2313" max="2313" width="9.42578125" style="31" bestFit="1" customWidth="1"/>
    <col min="2314" max="2314" width="15.42578125" style="31" bestFit="1" customWidth="1"/>
    <col min="2315" max="2315" width="9.42578125" style="31" bestFit="1" customWidth="1"/>
    <col min="2316" max="2559" width="9.140625" style="31"/>
    <col min="2560" max="2560" width="19" style="31" customWidth="1"/>
    <col min="2561" max="2561" width="57.5703125" style="31" customWidth="1"/>
    <col min="2562" max="2562" width="16.42578125" style="31" customWidth="1"/>
    <col min="2563" max="2564" width="17.7109375" style="31" bestFit="1" customWidth="1"/>
    <col min="2565" max="2565" width="15.7109375" style="31" customWidth="1"/>
    <col min="2566" max="2566" width="15.7109375" style="31" bestFit="1" customWidth="1"/>
    <col min="2567" max="2567" width="19.7109375" style="31" customWidth="1"/>
    <col min="2568" max="2568" width="15.42578125" style="31" bestFit="1" customWidth="1"/>
    <col min="2569" max="2569" width="9.42578125" style="31" bestFit="1" customWidth="1"/>
    <col min="2570" max="2570" width="15.42578125" style="31" bestFit="1" customWidth="1"/>
    <col min="2571" max="2571" width="9.42578125" style="31" bestFit="1" customWidth="1"/>
    <col min="2572" max="2815" width="9.140625" style="31"/>
    <col min="2816" max="2816" width="19" style="31" customWidth="1"/>
    <col min="2817" max="2817" width="57.5703125" style="31" customWidth="1"/>
    <col min="2818" max="2818" width="16.42578125" style="31" customWidth="1"/>
    <col min="2819" max="2820" width="17.7109375" style="31" bestFit="1" customWidth="1"/>
    <col min="2821" max="2821" width="15.7109375" style="31" customWidth="1"/>
    <col min="2822" max="2822" width="15.7109375" style="31" bestFit="1" customWidth="1"/>
    <col min="2823" max="2823" width="19.7109375" style="31" customWidth="1"/>
    <col min="2824" max="2824" width="15.42578125" style="31" bestFit="1" customWidth="1"/>
    <col min="2825" max="2825" width="9.42578125" style="31" bestFit="1" customWidth="1"/>
    <col min="2826" max="2826" width="15.42578125" style="31" bestFit="1" customWidth="1"/>
    <col min="2827" max="2827" width="9.42578125" style="31" bestFit="1" customWidth="1"/>
    <col min="2828" max="3071" width="9.140625" style="31"/>
    <col min="3072" max="3072" width="19" style="31" customWidth="1"/>
    <col min="3073" max="3073" width="57.5703125" style="31" customWidth="1"/>
    <col min="3074" max="3074" width="16.42578125" style="31" customWidth="1"/>
    <col min="3075" max="3076" width="17.7109375" style="31" bestFit="1" customWidth="1"/>
    <col min="3077" max="3077" width="15.7109375" style="31" customWidth="1"/>
    <col min="3078" max="3078" width="15.7109375" style="31" bestFit="1" customWidth="1"/>
    <col min="3079" max="3079" width="19.7109375" style="31" customWidth="1"/>
    <col min="3080" max="3080" width="15.42578125" style="31" bestFit="1" customWidth="1"/>
    <col min="3081" max="3081" width="9.42578125" style="31" bestFit="1" customWidth="1"/>
    <col min="3082" max="3082" width="15.42578125" style="31" bestFit="1" customWidth="1"/>
    <col min="3083" max="3083" width="9.42578125" style="31" bestFit="1" customWidth="1"/>
    <col min="3084" max="3327" width="9.140625" style="31"/>
    <col min="3328" max="3328" width="19" style="31" customWidth="1"/>
    <col min="3329" max="3329" width="57.5703125" style="31" customWidth="1"/>
    <col min="3330" max="3330" width="16.42578125" style="31" customWidth="1"/>
    <col min="3331" max="3332" width="17.7109375" style="31" bestFit="1" customWidth="1"/>
    <col min="3333" max="3333" width="15.7109375" style="31" customWidth="1"/>
    <col min="3334" max="3334" width="15.7109375" style="31" bestFit="1" customWidth="1"/>
    <col min="3335" max="3335" width="19.7109375" style="31" customWidth="1"/>
    <col min="3336" max="3336" width="15.42578125" style="31" bestFit="1" customWidth="1"/>
    <col min="3337" max="3337" width="9.42578125" style="31" bestFit="1" customWidth="1"/>
    <col min="3338" max="3338" width="15.42578125" style="31" bestFit="1" customWidth="1"/>
    <col min="3339" max="3339" width="9.42578125" style="31" bestFit="1" customWidth="1"/>
    <col min="3340" max="3583" width="9.140625" style="31"/>
    <col min="3584" max="3584" width="19" style="31" customWidth="1"/>
    <col min="3585" max="3585" width="57.5703125" style="31" customWidth="1"/>
    <col min="3586" max="3586" width="16.42578125" style="31" customWidth="1"/>
    <col min="3587" max="3588" width="17.7109375" style="31" bestFit="1" customWidth="1"/>
    <col min="3589" max="3589" width="15.7109375" style="31" customWidth="1"/>
    <col min="3590" max="3590" width="15.7109375" style="31" bestFit="1" customWidth="1"/>
    <col min="3591" max="3591" width="19.7109375" style="31" customWidth="1"/>
    <col min="3592" max="3592" width="15.42578125" style="31" bestFit="1" customWidth="1"/>
    <col min="3593" max="3593" width="9.42578125" style="31" bestFit="1" customWidth="1"/>
    <col min="3594" max="3594" width="15.42578125" style="31" bestFit="1" customWidth="1"/>
    <col min="3595" max="3595" width="9.42578125" style="31" bestFit="1" customWidth="1"/>
    <col min="3596" max="3839" width="9.140625" style="31"/>
    <col min="3840" max="3840" width="19" style="31" customWidth="1"/>
    <col min="3841" max="3841" width="57.5703125" style="31" customWidth="1"/>
    <col min="3842" max="3842" width="16.42578125" style="31" customWidth="1"/>
    <col min="3843" max="3844" width="17.7109375" style="31" bestFit="1" customWidth="1"/>
    <col min="3845" max="3845" width="15.7109375" style="31" customWidth="1"/>
    <col min="3846" max="3846" width="15.7109375" style="31" bestFit="1" customWidth="1"/>
    <col min="3847" max="3847" width="19.7109375" style="31" customWidth="1"/>
    <col min="3848" max="3848" width="15.42578125" style="31" bestFit="1" customWidth="1"/>
    <col min="3849" max="3849" width="9.42578125" style="31" bestFit="1" customWidth="1"/>
    <col min="3850" max="3850" width="15.42578125" style="31" bestFit="1" customWidth="1"/>
    <col min="3851" max="3851" width="9.42578125" style="31" bestFit="1" customWidth="1"/>
    <col min="3852" max="4095" width="9.140625" style="31"/>
    <col min="4096" max="4096" width="19" style="31" customWidth="1"/>
    <col min="4097" max="4097" width="57.5703125" style="31" customWidth="1"/>
    <col min="4098" max="4098" width="16.42578125" style="31" customWidth="1"/>
    <col min="4099" max="4100" width="17.7109375" style="31" bestFit="1" customWidth="1"/>
    <col min="4101" max="4101" width="15.7109375" style="31" customWidth="1"/>
    <col min="4102" max="4102" width="15.7109375" style="31" bestFit="1" customWidth="1"/>
    <col min="4103" max="4103" width="19.7109375" style="31" customWidth="1"/>
    <col min="4104" max="4104" width="15.42578125" style="31" bestFit="1" customWidth="1"/>
    <col min="4105" max="4105" width="9.42578125" style="31" bestFit="1" customWidth="1"/>
    <col min="4106" max="4106" width="15.42578125" style="31" bestFit="1" customWidth="1"/>
    <col min="4107" max="4107" width="9.42578125" style="31" bestFit="1" customWidth="1"/>
    <col min="4108" max="4351" width="9.140625" style="31"/>
    <col min="4352" max="4352" width="19" style="31" customWidth="1"/>
    <col min="4353" max="4353" width="57.5703125" style="31" customWidth="1"/>
    <col min="4354" max="4354" width="16.42578125" style="31" customWidth="1"/>
    <col min="4355" max="4356" width="17.7109375" style="31" bestFit="1" customWidth="1"/>
    <col min="4357" max="4357" width="15.7109375" style="31" customWidth="1"/>
    <col min="4358" max="4358" width="15.7109375" style="31" bestFit="1" customWidth="1"/>
    <col min="4359" max="4359" width="19.7109375" style="31" customWidth="1"/>
    <col min="4360" max="4360" width="15.42578125" style="31" bestFit="1" customWidth="1"/>
    <col min="4361" max="4361" width="9.42578125" style="31" bestFit="1" customWidth="1"/>
    <col min="4362" max="4362" width="15.42578125" style="31" bestFit="1" customWidth="1"/>
    <col min="4363" max="4363" width="9.42578125" style="31" bestFit="1" customWidth="1"/>
    <col min="4364" max="4607" width="9.140625" style="31"/>
    <col min="4608" max="4608" width="19" style="31" customWidth="1"/>
    <col min="4609" max="4609" width="57.5703125" style="31" customWidth="1"/>
    <col min="4610" max="4610" width="16.42578125" style="31" customWidth="1"/>
    <col min="4611" max="4612" width="17.7109375" style="31" bestFit="1" customWidth="1"/>
    <col min="4613" max="4613" width="15.7109375" style="31" customWidth="1"/>
    <col min="4614" max="4614" width="15.7109375" style="31" bestFit="1" customWidth="1"/>
    <col min="4615" max="4615" width="19.7109375" style="31" customWidth="1"/>
    <col min="4616" max="4616" width="15.42578125" style="31" bestFit="1" customWidth="1"/>
    <col min="4617" max="4617" width="9.42578125" style="31" bestFit="1" customWidth="1"/>
    <col min="4618" max="4618" width="15.42578125" style="31" bestFit="1" customWidth="1"/>
    <col min="4619" max="4619" width="9.42578125" style="31" bestFit="1" customWidth="1"/>
    <col min="4620" max="4863" width="9.140625" style="31"/>
    <col min="4864" max="4864" width="19" style="31" customWidth="1"/>
    <col min="4865" max="4865" width="57.5703125" style="31" customWidth="1"/>
    <col min="4866" max="4866" width="16.42578125" style="31" customWidth="1"/>
    <col min="4867" max="4868" width="17.7109375" style="31" bestFit="1" customWidth="1"/>
    <col min="4869" max="4869" width="15.7109375" style="31" customWidth="1"/>
    <col min="4870" max="4870" width="15.7109375" style="31" bestFit="1" customWidth="1"/>
    <col min="4871" max="4871" width="19.7109375" style="31" customWidth="1"/>
    <col min="4872" max="4872" width="15.42578125" style="31" bestFit="1" customWidth="1"/>
    <col min="4873" max="4873" width="9.42578125" style="31" bestFit="1" customWidth="1"/>
    <col min="4874" max="4874" width="15.42578125" style="31" bestFit="1" customWidth="1"/>
    <col min="4875" max="4875" width="9.42578125" style="31" bestFit="1" customWidth="1"/>
    <col min="4876" max="5119" width="9.140625" style="31"/>
    <col min="5120" max="5120" width="19" style="31" customWidth="1"/>
    <col min="5121" max="5121" width="57.5703125" style="31" customWidth="1"/>
    <col min="5122" max="5122" width="16.42578125" style="31" customWidth="1"/>
    <col min="5123" max="5124" width="17.7109375" style="31" bestFit="1" customWidth="1"/>
    <col min="5125" max="5125" width="15.7109375" style="31" customWidth="1"/>
    <col min="5126" max="5126" width="15.7109375" style="31" bestFit="1" customWidth="1"/>
    <col min="5127" max="5127" width="19.7109375" style="31" customWidth="1"/>
    <col min="5128" max="5128" width="15.42578125" style="31" bestFit="1" customWidth="1"/>
    <col min="5129" max="5129" width="9.42578125" style="31" bestFit="1" customWidth="1"/>
    <col min="5130" max="5130" width="15.42578125" style="31" bestFit="1" customWidth="1"/>
    <col min="5131" max="5131" width="9.42578125" style="31" bestFit="1" customWidth="1"/>
    <col min="5132" max="5375" width="9.140625" style="31"/>
    <col min="5376" max="5376" width="19" style="31" customWidth="1"/>
    <col min="5377" max="5377" width="57.5703125" style="31" customWidth="1"/>
    <col min="5378" max="5378" width="16.42578125" style="31" customWidth="1"/>
    <col min="5379" max="5380" width="17.7109375" style="31" bestFit="1" customWidth="1"/>
    <col min="5381" max="5381" width="15.7109375" style="31" customWidth="1"/>
    <col min="5382" max="5382" width="15.7109375" style="31" bestFit="1" customWidth="1"/>
    <col min="5383" max="5383" width="19.7109375" style="31" customWidth="1"/>
    <col min="5384" max="5384" width="15.42578125" style="31" bestFit="1" customWidth="1"/>
    <col min="5385" max="5385" width="9.42578125" style="31" bestFit="1" customWidth="1"/>
    <col min="5386" max="5386" width="15.42578125" style="31" bestFit="1" customWidth="1"/>
    <col min="5387" max="5387" width="9.42578125" style="31" bestFit="1" customWidth="1"/>
    <col min="5388" max="5631" width="9.140625" style="31"/>
    <col min="5632" max="5632" width="19" style="31" customWidth="1"/>
    <col min="5633" max="5633" width="57.5703125" style="31" customWidth="1"/>
    <col min="5634" max="5634" width="16.42578125" style="31" customWidth="1"/>
    <col min="5635" max="5636" width="17.7109375" style="31" bestFit="1" customWidth="1"/>
    <col min="5637" max="5637" width="15.7109375" style="31" customWidth="1"/>
    <col min="5638" max="5638" width="15.7109375" style="31" bestFit="1" customWidth="1"/>
    <col min="5639" max="5639" width="19.7109375" style="31" customWidth="1"/>
    <col min="5640" max="5640" width="15.42578125" style="31" bestFit="1" customWidth="1"/>
    <col min="5641" max="5641" width="9.42578125" style="31" bestFit="1" customWidth="1"/>
    <col min="5642" max="5642" width="15.42578125" style="31" bestFit="1" customWidth="1"/>
    <col min="5643" max="5643" width="9.42578125" style="31" bestFit="1" customWidth="1"/>
    <col min="5644" max="5887" width="9.140625" style="31"/>
    <col min="5888" max="5888" width="19" style="31" customWidth="1"/>
    <col min="5889" max="5889" width="57.5703125" style="31" customWidth="1"/>
    <col min="5890" max="5890" width="16.42578125" style="31" customWidth="1"/>
    <col min="5891" max="5892" width="17.7109375" style="31" bestFit="1" customWidth="1"/>
    <col min="5893" max="5893" width="15.7109375" style="31" customWidth="1"/>
    <col min="5894" max="5894" width="15.7109375" style="31" bestFit="1" customWidth="1"/>
    <col min="5895" max="5895" width="19.7109375" style="31" customWidth="1"/>
    <col min="5896" max="5896" width="15.42578125" style="31" bestFit="1" customWidth="1"/>
    <col min="5897" max="5897" width="9.42578125" style="31" bestFit="1" customWidth="1"/>
    <col min="5898" max="5898" width="15.42578125" style="31" bestFit="1" customWidth="1"/>
    <col min="5899" max="5899" width="9.42578125" style="31" bestFit="1" customWidth="1"/>
    <col min="5900" max="6143" width="9.140625" style="31"/>
    <col min="6144" max="6144" width="19" style="31" customWidth="1"/>
    <col min="6145" max="6145" width="57.5703125" style="31" customWidth="1"/>
    <col min="6146" max="6146" width="16.42578125" style="31" customWidth="1"/>
    <col min="6147" max="6148" width="17.7109375" style="31" bestFit="1" customWidth="1"/>
    <col min="6149" max="6149" width="15.7109375" style="31" customWidth="1"/>
    <col min="6150" max="6150" width="15.7109375" style="31" bestFit="1" customWidth="1"/>
    <col min="6151" max="6151" width="19.7109375" style="31" customWidth="1"/>
    <col min="6152" max="6152" width="15.42578125" style="31" bestFit="1" customWidth="1"/>
    <col min="6153" max="6153" width="9.42578125" style="31" bestFit="1" customWidth="1"/>
    <col min="6154" max="6154" width="15.42578125" style="31" bestFit="1" customWidth="1"/>
    <col min="6155" max="6155" width="9.42578125" style="31" bestFit="1" customWidth="1"/>
    <col min="6156" max="6399" width="9.140625" style="31"/>
    <col min="6400" max="6400" width="19" style="31" customWidth="1"/>
    <col min="6401" max="6401" width="57.5703125" style="31" customWidth="1"/>
    <col min="6402" max="6402" width="16.42578125" style="31" customWidth="1"/>
    <col min="6403" max="6404" width="17.7109375" style="31" bestFit="1" customWidth="1"/>
    <col min="6405" max="6405" width="15.7109375" style="31" customWidth="1"/>
    <col min="6406" max="6406" width="15.7109375" style="31" bestFit="1" customWidth="1"/>
    <col min="6407" max="6407" width="19.7109375" style="31" customWidth="1"/>
    <col min="6408" max="6408" width="15.42578125" style="31" bestFit="1" customWidth="1"/>
    <col min="6409" max="6409" width="9.42578125" style="31" bestFit="1" customWidth="1"/>
    <col min="6410" max="6410" width="15.42578125" style="31" bestFit="1" customWidth="1"/>
    <col min="6411" max="6411" width="9.42578125" style="31" bestFit="1" customWidth="1"/>
    <col min="6412" max="6655" width="9.140625" style="31"/>
    <col min="6656" max="6656" width="19" style="31" customWidth="1"/>
    <col min="6657" max="6657" width="57.5703125" style="31" customWidth="1"/>
    <col min="6658" max="6658" width="16.42578125" style="31" customWidth="1"/>
    <col min="6659" max="6660" width="17.7109375" style="31" bestFit="1" customWidth="1"/>
    <col min="6661" max="6661" width="15.7109375" style="31" customWidth="1"/>
    <col min="6662" max="6662" width="15.7109375" style="31" bestFit="1" customWidth="1"/>
    <col min="6663" max="6663" width="19.7109375" style="31" customWidth="1"/>
    <col min="6664" max="6664" width="15.42578125" style="31" bestFit="1" customWidth="1"/>
    <col min="6665" max="6665" width="9.42578125" style="31" bestFit="1" customWidth="1"/>
    <col min="6666" max="6666" width="15.42578125" style="31" bestFit="1" customWidth="1"/>
    <col min="6667" max="6667" width="9.42578125" style="31" bestFit="1" customWidth="1"/>
    <col min="6668" max="6911" width="9.140625" style="31"/>
    <col min="6912" max="6912" width="19" style="31" customWidth="1"/>
    <col min="6913" max="6913" width="57.5703125" style="31" customWidth="1"/>
    <col min="6914" max="6914" width="16.42578125" style="31" customWidth="1"/>
    <col min="6915" max="6916" width="17.7109375" style="31" bestFit="1" customWidth="1"/>
    <col min="6917" max="6917" width="15.7109375" style="31" customWidth="1"/>
    <col min="6918" max="6918" width="15.7109375" style="31" bestFit="1" customWidth="1"/>
    <col min="6919" max="6919" width="19.7109375" style="31" customWidth="1"/>
    <col min="6920" max="6920" width="15.42578125" style="31" bestFit="1" customWidth="1"/>
    <col min="6921" max="6921" width="9.42578125" style="31" bestFit="1" customWidth="1"/>
    <col min="6922" max="6922" width="15.42578125" style="31" bestFit="1" customWidth="1"/>
    <col min="6923" max="6923" width="9.42578125" style="31" bestFit="1" customWidth="1"/>
    <col min="6924" max="7167" width="9.140625" style="31"/>
    <col min="7168" max="7168" width="19" style="31" customWidth="1"/>
    <col min="7169" max="7169" width="57.5703125" style="31" customWidth="1"/>
    <col min="7170" max="7170" width="16.42578125" style="31" customWidth="1"/>
    <col min="7171" max="7172" width="17.7109375" style="31" bestFit="1" customWidth="1"/>
    <col min="7173" max="7173" width="15.7109375" style="31" customWidth="1"/>
    <col min="7174" max="7174" width="15.7109375" style="31" bestFit="1" customWidth="1"/>
    <col min="7175" max="7175" width="19.7109375" style="31" customWidth="1"/>
    <col min="7176" max="7176" width="15.42578125" style="31" bestFit="1" customWidth="1"/>
    <col min="7177" max="7177" width="9.42578125" style="31" bestFit="1" customWidth="1"/>
    <col min="7178" max="7178" width="15.42578125" style="31" bestFit="1" customWidth="1"/>
    <col min="7179" max="7179" width="9.42578125" style="31" bestFit="1" customWidth="1"/>
    <col min="7180" max="7423" width="9.140625" style="31"/>
    <col min="7424" max="7424" width="19" style="31" customWidth="1"/>
    <col min="7425" max="7425" width="57.5703125" style="31" customWidth="1"/>
    <col min="7426" max="7426" width="16.42578125" style="31" customWidth="1"/>
    <col min="7427" max="7428" width="17.7109375" style="31" bestFit="1" customWidth="1"/>
    <col min="7429" max="7429" width="15.7109375" style="31" customWidth="1"/>
    <col min="7430" max="7430" width="15.7109375" style="31" bestFit="1" customWidth="1"/>
    <col min="7431" max="7431" width="19.7109375" style="31" customWidth="1"/>
    <col min="7432" max="7432" width="15.42578125" style="31" bestFit="1" customWidth="1"/>
    <col min="7433" max="7433" width="9.42578125" style="31" bestFit="1" customWidth="1"/>
    <col min="7434" max="7434" width="15.42578125" style="31" bestFit="1" customWidth="1"/>
    <col min="7435" max="7435" width="9.42578125" style="31" bestFit="1" customWidth="1"/>
    <col min="7436" max="7679" width="9.140625" style="31"/>
    <col min="7680" max="7680" width="19" style="31" customWidth="1"/>
    <col min="7681" max="7681" width="57.5703125" style="31" customWidth="1"/>
    <col min="7682" max="7682" width="16.42578125" style="31" customWidth="1"/>
    <col min="7683" max="7684" width="17.7109375" style="31" bestFit="1" customWidth="1"/>
    <col min="7685" max="7685" width="15.7109375" style="31" customWidth="1"/>
    <col min="7686" max="7686" width="15.7109375" style="31" bestFit="1" customWidth="1"/>
    <col min="7687" max="7687" width="19.7109375" style="31" customWidth="1"/>
    <col min="7688" max="7688" width="15.42578125" style="31" bestFit="1" customWidth="1"/>
    <col min="7689" max="7689" width="9.42578125" style="31" bestFit="1" customWidth="1"/>
    <col min="7690" max="7690" width="15.42578125" style="31" bestFit="1" customWidth="1"/>
    <col min="7691" max="7691" width="9.42578125" style="31" bestFit="1" customWidth="1"/>
    <col min="7692" max="7935" width="9.140625" style="31"/>
    <col min="7936" max="7936" width="19" style="31" customWidth="1"/>
    <col min="7937" max="7937" width="57.5703125" style="31" customWidth="1"/>
    <col min="7938" max="7938" width="16.42578125" style="31" customWidth="1"/>
    <col min="7939" max="7940" width="17.7109375" style="31" bestFit="1" customWidth="1"/>
    <col min="7941" max="7941" width="15.7109375" style="31" customWidth="1"/>
    <col min="7942" max="7942" width="15.7109375" style="31" bestFit="1" customWidth="1"/>
    <col min="7943" max="7943" width="19.7109375" style="31" customWidth="1"/>
    <col min="7944" max="7944" width="15.42578125" style="31" bestFit="1" customWidth="1"/>
    <col min="7945" max="7945" width="9.42578125" style="31" bestFit="1" customWidth="1"/>
    <col min="7946" max="7946" width="15.42578125" style="31" bestFit="1" customWidth="1"/>
    <col min="7947" max="7947" width="9.42578125" style="31" bestFit="1" customWidth="1"/>
    <col min="7948" max="8191" width="9.140625" style="31"/>
    <col min="8192" max="8192" width="19" style="31" customWidth="1"/>
    <col min="8193" max="8193" width="57.5703125" style="31" customWidth="1"/>
    <col min="8194" max="8194" width="16.42578125" style="31" customWidth="1"/>
    <col min="8195" max="8196" width="17.7109375" style="31" bestFit="1" customWidth="1"/>
    <col min="8197" max="8197" width="15.7109375" style="31" customWidth="1"/>
    <col min="8198" max="8198" width="15.7109375" style="31" bestFit="1" customWidth="1"/>
    <col min="8199" max="8199" width="19.7109375" style="31" customWidth="1"/>
    <col min="8200" max="8200" width="15.42578125" style="31" bestFit="1" customWidth="1"/>
    <col min="8201" max="8201" width="9.42578125" style="31" bestFit="1" customWidth="1"/>
    <col min="8202" max="8202" width="15.42578125" style="31" bestFit="1" customWidth="1"/>
    <col min="8203" max="8203" width="9.42578125" style="31" bestFit="1" customWidth="1"/>
    <col min="8204" max="8447" width="9.140625" style="31"/>
    <col min="8448" max="8448" width="19" style="31" customWidth="1"/>
    <col min="8449" max="8449" width="57.5703125" style="31" customWidth="1"/>
    <col min="8450" max="8450" width="16.42578125" style="31" customWidth="1"/>
    <col min="8451" max="8452" width="17.7109375" style="31" bestFit="1" customWidth="1"/>
    <col min="8453" max="8453" width="15.7109375" style="31" customWidth="1"/>
    <col min="8454" max="8454" width="15.7109375" style="31" bestFit="1" customWidth="1"/>
    <col min="8455" max="8455" width="19.7109375" style="31" customWidth="1"/>
    <col min="8456" max="8456" width="15.42578125" style="31" bestFit="1" customWidth="1"/>
    <col min="8457" max="8457" width="9.42578125" style="31" bestFit="1" customWidth="1"/>
    <col min="8458" max="8458" width="15.42578125" style="31" bestFit="1" customWidth="1"/>
    <col min="8459" max="8459" width="9.42578125" style="31" bestFit="1" customWidth="1"/>
    <col min="8460" max="8703" width="9.140625" style="31"/>
    <col min="8704" max="8704" width="19" style="31" customWidth="1"/>
    <col min="8705" max="8705" width="57.5703125" style="31" customWidth="1"/>
    <col min="8706" max="8706" width="16.42578125" style="31" customWidth="1"/>
    <col min="8707" max="8708" width="17.7109375" style="31" bestFit="1" customWidth="1"/>
    <col min="8709" max="8709" width="15.7109375" style="31" customWidth="1"/>
    <col min="8710" max="8710" width="15.7109375" style="31" bestFit="1" customWidth="1"/>
    <col min="8711" max="8711" width="19.7109375" style="31" customWidth="1"/>
    <col min="8712" max="8712" width="15.42578125" style="31" bestFit="1" customWidth="1"/>
    <col min="8713" max="8713" width="9.42578125" style="31" bestFit="1" customWidth="1"/>
    <col min="8714" max="8714" width="15.42578125" style="31" bestFit="1" customWidth="1"/>
    <col min="8715" max="8715" width="9.42578125" style="31" bestFit="1" customWidth="1"/>
    <col min="8716" max="8959" width="9.140625" style="31"/>
    <col min="8960" max="8960" width="19" style="31" customWidth="1"/>
    <col min="8961" max="8961" width="57.5703125" style="31" customWidth="1"/>
    <col min="8962" max="8962" width="16.42578125" style="31" customWidth="1"/>
    <col min="8963" max="8964" width="17.7109375" style="31" bestFit="1" customWidth="1"/>
    <col min="8965" max="8965" width="15.7109375" style="31" customWidth="1"/>
    <col min="8966" max="8966" width="15.7109375" style="31" bestFit="1" customWidth="1"/>
    <col min="8967" max="8967" width="19.7109375" style="31" customWidth="1"/>
    <col min="8968" max="8968" width="15.42578125" style="31" bestFit="1" customWidth="1"/>
    <col min="8969" max="8969" width="9.42578125" style="31" bestFit="1" customWidth="1"/>
    <col min="8970" max="8970" width="15.42578125" style="31" bestFit="1" customWidth="1"/>
    <col min="8971" max="8971" width="9.42578125" style="31" bestFit="1" customWidth="1"/>
    <col min="8972" max="9215" width="9.140625" style="31"/>
    <col min="9216" max="9216" width="19" style="31" customWidth="1"/>
    <col min="9217" max="9217" width="57.5703125" style="31" customWidth="1"/>
    <col min="9218" max="9218" width="16.42578125" style="31" customWidth="1"/>
    <col min="9219" max="9220" width="17.7109375" style="31" bestFit="1" customWidth="1"/>
    <col min="9221" max="9221" width="15.7109375" style="31" customWidth="1"/>
    <col min="9222" max="9222" width="15.7109375" style="31" bestFit="1" customWidth="1"/>
    <col min="9223" max="9223" width="19.7109375" style="31" customWidth="1"/>
    <col min="9224" max="9224" width="15.42578125" style="31" bestFit="1" customWidth="1"/>
    <col min="9225" max="9225" width="9.42578125" style="31" bestFit="1" customWidth="1"/>
    <col min="9226" max="9226" width="15.42578125" style="31" bestFit="1" customWidth="1"/>
    <col min="9227" max="9227" width="9.42578125" style="31" bestFit="1" customWidth="1"/>
    <col min="9228" max="9471" width="9.140625" style="31"/>
    <col min="9472" max="9472" width="19" style="31" customWidth="1"/>
    <col min="9473" max="9473" width="57.5703125" style="31" customWidth="1"/>
    <col min="9474" max="9474" width="16.42578125" style="31" customWidth="1"/>
    <col min="9475" max="9476" width="17.7109375" style="31" bestFit="1" customWidth="1"/>
    <col min="9477" max="9477" width="15.7109375" style="31" customWidth="1"/>
    <col min="9478" max="9478" width="15.7109375" style="31" bestFit="1" customWidth="1"/>
    <col min="9479" max="9479" width="19.7109375" style="31" customWidth="1"/>
    <col min="9480" max="9480" width="15.42578125" style="31" bestFit="1" customWidth="1"/>
    <col min="9481" max="9481" width="9.42578125" style="31" bestFit="1" customWidth="1"/>
    <col min="9482" max="9482" width="15.42578125" style="31" bestFit="1" customWidth="1"/>
    <col min="9483" max="9483" width="9.42578125" style="31" bestFit="1" customWidth="1"/>
    <col min="9484" max="9727" width="9.140625" style="31"/>
    <col min="9728" max="9728" width="19" style="31" customWidth="1"/>
    <col min="9729" max="9729" width="57.5703125" style="31" customWidth="1"/>
    <col min="9730" max="9730" width="16.42578125" style="31" customWidth="1"/>
    <col min="9731" max="9732" width="17.7109375" style="31" bestFit="1" customWidth="1"/>
    <col min="9733" max="9733" width="15.7109375" style="31" customWidth="1"/>
    <col min="9734" max="9734" width="15.7109375" style="31" bestFit="1" customWidth="1"/>
    <col min="9735" max="9735" width="19.7109375" style="31" customWidth="1"/>
    <col min="9736" max="9736" width="15.42578125" style="31" bestFit="1" customWidth="1"/>
    <col min="9737" max="9737" width="9.42578125" style="31" bestFit="1" customWidth="1"/>
    <col min="9738" max="9738" width="15.42578125" style="31" bestFit="1" customWidth="1"/>
    <col min="9739" max="9739" width="9.42578125" style="31" bestFit="1" customWidth="1"/>
    <col min="9740" max="9983" width="9.140625" style="31"/>
    <col min="9984" max="9984" width="19" style="31" customWidth="1"/>
    <col min="9985" max="9985" width="57.5703125" style="31" customWidth="1"/>
    <col min="9986" max="9986" width="16.42578125" style="31" customWidth="1"/>
    <col min="9987" max="9988" width="17.7109375" style="31" bestFit="1" customWidth="1"/>
    <col min="9989" max="9989" width="15.7109375" style="31" customWidth="1"/>
    <col min="9990" max="9990" width="15.7109375" style="31" bestFit="1" customWidth="1"/>
    <col min="9991" max="9991" width="19.7109375" style="31" customWidth="1"/>
    <col min="9992" max="9992" width="15.42578125" style="31" bestFit="1" customWidth="1"/>
    <col min="9993" max="9993" width="9.42578125" style="31" bestFit="1" customWidth="1"/>
    <col min="9994" max="9994" width="15.42578125" style="31" bestFit="1" customWidth="1"/>
    <col min="9995" max="9995" width="9.42578125" style="31" bestFit="1" customWidth="1"/>
    <col min="9996" max="10239" width="9.140625" style="31"/>
    <col min="10240" max="10240" width="19" style="31" customWidth="1"/>
    <col min="10241" max="10241" width="57.5703125" style="31" customWidth="1"/>
    <col min="10242" max="10242" width="16.42578125" style="31" customWidth="1"/>
    <col min="10243" max="10244" width="17.7109375" style="31" bestFit="1" customWidth="1"/>
    <col min="10245" max="10245" width="15.7109375" style="31" customWidth="1"/>
    <col min="10246" max="10246" width="15.7109375" style="31" bestFit="1" customWidth="1"/>
    <col min="10247" max="10247" width="19.7109375" style="31" customWidth="1"/>
    <col min="10248" max="10248" width="15.42578125" style="31" bestFit="1" customWidth="1"/>
    <col min="10249" max="10249" width="9.42578125" style="31" bestFit="1" customWidth="1"/>
    <col min="10250" max="10250" width="15.42578125" style="31" bestFit="1" customWidth="1"/>
    <col min="10251" max="10251" width="9.42578125" style="31" bestFit="1" customWidth="1"/>
    <col min="10252" max="10495" width="9.140625" style="31"/>
    <col min="10496" max="10496" width="19" style="31" customWidth="1"/>
    <col min="10497" max="10497" width="57.5703125" style="31" customWidth="1"/>
    <col min="10498" max="10498" width="16.42578125" style="31" customWidth="1"/>
    <col min="10499" max="10500" width="17.7109375" style="31" bestFit="1" customWidth="1"/>
    <col min="10501" max="10501" width="15.7109375" style="31" customWidth="1"/>
    <col min="10502" max="10502" width="15.7109375" style="31" bestFit="1" customWidth="1"/>
    <col min="10503" max="10503" width="19.7109375" style="31" customWidth="1"/>
    <col min="10504" max="10504" width="15.42578125" style="31" bestFit="1" customWidth="1"/>
    <col min="10505" max="10505" width="9.42578125" style="31" bestFit="1" customWidth="1"/>
    <col min="10506" max="10506" width="15.42578125" style="31" bestFit="1" customWidth="1"/>
    <col min="10507" max="10507" width="9.42578125" style="31" bestFit="1" customWidth="1"/>
    <col min="10508" max="10751" width="9.140625" style="31"/>
    <col min="10752" max="10752" width="19" style="31" customWidth="1"/>
    <col min="10753" max="10753" width="57.5703125" style="31" customWidth="1"/>
    <col min="10754" max="10754" width="16.42578125" style="31" customWidth="1"/>
    <col min="10755" max="10756" width="17.7109375" style="31" bestFit="1" customWidth="1"/>
    <col min="10757" max="10757" width="15.7109375" style="31" customWidth="1"/>
    <col min="10758" max="10758" width="15.7109375" style="31" bestFit="1" customWidth="1"/>
    <col min="10759" max="10759" width="19.7109375" style="31" customWidth="1"/>
    <col min="10760" max="10760" width="15.42578125" style="31" bestFit="1" customWidth="1"/>
    <col min="10761" max="10761" width="9.42578125" style="31" bestFit="1" customWidth="1"/>
    <col min="10762" max="10762" width="15.42578125" style="31" bestFit="1" customWidth="1"/>
    <col min="10763" max="10763" width="9.42578125" style="31" bestFit="1" customWidth="1"/>
    <col min="10764" max="11007" width="9.140625" style="31"/>
    <col min="11008" max="11008" width="19" style="31" customWidth="1"/>
    <col min="11009" max="11009" width="57.5703125" style="31" customWidth="1"/>
    <col min="11010" max="11010" width="16.42578125" style="31" customWidth="1"/>
    <col min="11011" max="11012" width="17.7109375" style="31" bestFit="1" customWidth="1"/>
    <col min="11013" max="11013" width="15.7109375" style="31" customWidth="1"/>
    <col min="11014" max="11014" width="15.7109375" style="31" bestFit="1" customWidth="1"/>
    <col min="11015" max="11015" width="19.7109375" style="31" customWidth="1"/>
    <col min="11016" max="11016" width="15.42578125" style="31" bestFit="1" customWidth="1"/>
    <col min="11017" max="11017" width="9.42578125" style="31" bestFit="1" customWidth="1"/>
    <col min="11018" max="11018" width="15.42578125" style="31" bestFit="1" customWidth="1"/>
    <col min="11019" max="11019" width="9.42578125" style="31" bestFit="1" customWidth="1"/>
    <col min="11020" max="11263" width="9.140625" style="31"/>
    <col min="11264" max="11264" width="19" style="31" customWidth="1"/>
    <col min="11265" max="11265" width="57.5703125" style="31" customWidth="1"/>
    <col min="11266" max="11266" width="16.42578125" style="31" customWidth="1"/>
    <col min="11267" max="11268" width="17.7109375" style="31" bestFit="1" customWidth="1"/>
    <col min="11269" max="11269" width="15.7109375" style="31" customWidth="1"/>
    <col min="11270" max="11270" width="15.7109375" style="31" bestFit="1" customWidth="1"/>
    <col min="11271" max="11271" width="19.7109375" style="31" customWidth="1"/>
    <col min="11272" max="11272" width="15.42578125" style="31" bestFit="1" customWidth="1"/>
    <col min="11273" max="11273" width="9.42578125" style="31" bestFit="1" customWidth="1"/>
    <col min="11274" max="11274" width="15.42578125" style="31" bestFit="1" customWidth="1"/>
    <col min="11275" max="11275" width="9.42578125" style="31" bestFit="1" customWidth="1"/>
    <col min="11276" max="11519" width="9.140625" style="31"/>
    <col min="11520" max="11520" width="19" style="31" customWidth="1"/>
    <col min="11521" max="11521" width="57.5703125" style="31" customWidth="1"/>
    <col min="11522" max="11522" width="16.42578125" style="31" customWidth="1"/>
    <col min="11523" max="11524" width="17.7109375" style="31" bestFit="1" customWidth="1"/>
    <col min="11525" max="11525" width="15.7109375" style="31" customWidth="1"/>
    <col min="11526" max="11526" width="15.7109375" style="31" bestFit="1" customWidth="1"/>
    <col min="11527" max="11527" width="19.7109375" style="31" customWidth="1"/>
    <col min="11528" max="11528" width="15.42578125" style="31" bestFit="1" customWidth="1"/>
    <col min="11529" max="11529" width="9.42578125" style="31" bestFit="1" customWidth="1"/>
    <col min="11530" max="11530" width="15.42578125" style="31" bestFit="1" customWidth="1"/>
    <col min="11531" max="11531" width="9.42578125" style="31" bestFit="1" customWidth="1"/>
    <col min="11532" max="11775" width="9.140625" style="31"/>
    <col min="11776" max="11776" width="19" style="31" customWidth="1"/>
    <col min="11777" max="11777" width="57.5703125" style="31" customWidth="1"/>
    <col min="11778" max="11778" width="16.42578125" style="31" customWidth="1"/>
    <col min="11779" max="11780" width="17.7109375" style="31" bestFit="1" customWidth="1"/>
    <col min="11781" max="11781" width="15.7109375" style="31" customWidth="1"/>
    <col min="11782" max="11782" width="15.7109375" style="31" bestFit="1" customWidth="1"/>
    <col min="11783" max="11783" width="19.7109375" style="31" customWidth="1"/>
    <col min="11784" max="11784" width="15.42578125" style="31" bestFit="1" customWidth="1"/>
    <col min="11785" max="11785" width="9.42578125" style="31" bestFit="1" customWidth="1"/>
    <col min="11786" max="11786" width="15.42578125" style="31" bestFit="1" customWidth="1"/>
    <col min="11787" max="11787" width="9.42578125" style="31" bestFit="1" customWidth="1"/>
    <col min="11788" max="12031" width="9.140625" style="31"/>
    <col min="12032" max="12032" width="19" style="31" customWidth="1"/>
    <col min="12033" max="12033" width="57.5703125" style="31" customWidth="1"/>
    <col min="12034" max="12034" width="16.42578125" style="31" customWidth="1"/>
    <col min="12035" max="12036" width="17.7109375" style="31" bestFit="1" customWidth="1"/>
    <col min="12037" max="12037" width="15.7109375" style="31" customWidth="1"/>
    <col min="12038" max="12038" width="15.7109375" style="31" bestFit="1" customWidth="1"/>
    <col min="12039" max="12039" width="19.7109375" style="31" customWidth="1"/>
    <col min="12040" max="12040" width="15.42578125" style="31" bestFit="1" customWidth="1"/>
    <col min="12041" max="12041" width="9.42578125" style="31" bestFit="1" customWidth="1"/>
    <col min="12042" max="12042" width="15.42578125" style="31" bestFit="1" customWidth="1"/>
    <col min="12043" max="12043" width="9.42578125" style="31" bestFit="1" customWidth="1"/>
    <col min="12044" max="12287" width="9.140625" style="31"/>
    <col min="12288" max="12288" width="19" style="31" customWidth="1"/>
    <col min="12289" max="12289" width="57.5703125" style="31" customWidth="1"/>
    <col min="12290" max="12290" width="16.42578125" style="31" customWidth="1"/>
    <col min="12291" max="12292" width="17.7109375" style="31" bestFit="1" customWidth="1"/>
    <col min="12293" max="12293" width="15.7109375" style="31" customWidth="1"/>
    <col min="12294" max="12294" width="15.7109375" style="31" bestFit="1" customWidth="1"/>
    <col min="12295" max="12295" width="19.7109375" style="31" customWidth="1"/>
    <col min="12296" max="12296" width="15.42578125" style="31" bestFit="1" customWidth="1"/>
    <col min="12297" max="12297" width="9.42578125" style="31" bestFit="1" customWidth="1"/>
    <col min="12298" max="12298" width="15.42578125" style="31" bestFit="1" customWidth="1"/>
    <col min="12299" max="12299" width="9.42578125" style="31" bestFit="1" customWidth="1"/>
    <col min="12300" max="12543" width="9.140625" style="31"/>
    <col min="12544" max="12544" width="19" style="31" customWidth="1"/>
    <col min="12545" max="12545" width="57.5703125" style="31" customWidth="1"/>
    <col min="12546" max="12546" width="16.42578125" style="31" customWidth="1"/>
    <col min="12547" max="12548" width="17.7109375" style="31" bestFit="1" customWidth="1"/>
    <col min="12549" max="12549" width="15.7109375" style="31" customWidth="1"/>
    <col min="12550" max="12550" width="15.7109375" style="31" bestFit="1" customWidth="1"/>
    <col min="12551" max="12551" width="19.7109375" style="31" customWidth="1"/>
    <col min="12552" max="12552" width="15.42578125" style="31" bestFit="1" customWidth="1"/>
    <col min="12553" max="12553" width="9.42578125" style="31" bestFit="1" customWidth="1"/>
    <col min="12554" max="12554" width="15.42578125" style="31" bestFit="1" customWidth="1"/>
    <col min="12555" max="12555" width="9.42578125" style="31" bestFit="1" customWidth="1"/>
    <col min="12556" max="12799" width="9.140625" style="31"/>
    <col min="12800" max="12800" width="19" style="31" customWidth="1"/>
    <col min="12801" max="12801" width="57.5703125" style="31" customWidth="1"/>
    <col min="12802" max="12802" width="16.42578125" style="31" customWidth="1"/>
    <col min="12803" max="12804" width="17.7109375" style="31" bestFit="1" customWidth="1"/>
    <col min="12805" max="12805" width="15.7109375" style="31" customWidth="1"/>
    <col min="12806" max="12806" width="15.7109375" style="31" bestFit="1" customWidth="1"/>
    <col min="12807" max="12807" width="19.7109375" style="31" customWidth="1"/>
    <col min="12808" max="12808" width="15.42578125" style="31" bestFit="1" customWidth="1"/>
    <col min="12809" max="12809" width="9.42578125" style="31" bestFit="1" customWidth="1"/>
    <col min="12810" max="12810" width="15.42578125" style="31" bestFit="1" customWidth="1"/>
    <col min="12811" max="12811" width="9.42578125" style="31" bestFit="1" customWidth="1"/>
    <col min="12812" max="13055" width="9.140625" style="31"/>
    <col min="13056" max="13056" width="19" style="31" customWidth="1"/>
    <col min="13057" max="13057" width="57.5703125" style="31" customWidth="1"/>
    <col min="13058" max="13058" width="16.42578125" style="31" customWidth="1"/>
    <col min="13059" max="13060" width="17.7109375" style="31" bestFit="1" customWidth="1"/>
    <col min="13061" max="13061" width="15.7109375" style="31" customWidth="1"/>
    <col min="13062" max="13062" width="15.7109375" style="31" bestFit="1" customWidth="1"/>
    <col min="13063" max="13063" width="19.7109375" style="31" customWidth="1"/>
    <col min="13064" max="13064" width="15.42578125" style="31" bestFit="1" customWidth="1"/>
    <col min="13065" max="13065" width="9.42578125" style="31" bestFit="1" customWidth="1"/>
    <col min="13066" max="13066" width="15.42578125" style="31" bestFit="1" customWidth="1"/>
    <col min="13067" max="13067" width="9.42578125" style="31" bestFit="1" customWidth="1"/>
    <col min="13068" max="13311" width="9.140625" style="31"/>
    <col min="13312" max="13312" width="19" style="31" customWidth="1"/>
    <col min="13313" max="13313" width="57.5703125" style="31" customWidth="1"/>
    <col min="13314" max="13314" width="16.42578125" style="31" customWidth="1"/>
    <col min="13315" max="13316" width="17.7109375" style="31" bestFit="1" customWidth="1"/>
    <col min="13317" max="13317" width="15.7109375" style="31" customWidth="1"/>
    <col min="13318" max="13318" width="15.7109375" style="31" bestFit="1" customWidth="1"/>
    <col min="13319" max="13319" width="19.7109375" style="31" customWidth="1"/>
    <col min="13320" max="13320" width="15.42578125" style="31" bestFit="1" customWidth="1"/>
    <col min="13321" max="13321" width="9.42578125" style="31" bestFit="1" customWidth="1"/>
    <col min="13322" max="13322" width="15.42578125" style="31" bestFit="1" customWidth="1"/>
    <col min="13323" max="13323" width="9.42578125" style="31" bestFit="1" customWidth="1"/>
    <col min="13324" max="13567" width="9.140625" style="31"/>
    <col min="13568" max="13568" width="19" style="31" customWidth="1"/>
    <col min="13569" max="13569" width="57.5703125" style="31" customWidth="1"/>
    <col min="13570" max="13570" width="16.42578125" style="31" customWidth="1"/>
    <col min="13571" max="13572" width="17.7109375" style="31" bestFit="1" customWidth="1"/>
    <col min="13573" max="13573" width="15.7109375" style="31" customWidth="1"/>
    <col min="13574" max="13574" width="15.7109375" style="31" bestFit="1" customWidth="1"/>
    <col min="13575" max="13575" width="19.7109375" style="31" customWidth="1"/>
    <col min="13576" max="13576" width="15.42578125" style="31" bestFit="1" customWidth="1"/>
    <col min="13577" max="13577" width="9.42578125" style="31" bestFit="1" customWidth="1"/>
    <col min="13578" max="13578" width="15.42578125" style="31" bestFit="1" customWidth="1"/>
    <col min="13579" max="13579" width="9.42578125" style="31" bestFit="1" customWidth="1"/>
    <col min="13580" max="13823" width="9.140625" style="31"/>
    <col min="13824" max="13824" width="19" style="31" customWidth="1"/>
    <col min="13825" max="13825" width="57.5703125" style="31" customWidth="1"/>
    <col min="13826" max="13826" width="16.42578125" style="31" customWidth="1"/>
    <col min="13827" max="13828" width="17.7109375" style="31" bestFit="1" customWidth="1"/>
    <col min="13829" max="13829" width="15.7109375" style="31" customWidth="1"/>
    <col min="13830" max="13830" width="15.7109375" style="31" bestFit="1" customWidth="1"/>
    <col min="13831" max="13831" width="19.7109375" style="31" customWidth="1"/>
    <col min="13832" max="13832" width="15.42578125" style="31" bestFit="1" customWidth="1"/>
    <col min="13833" max="13833" width="9.42578125" style="31" bestFit="1" customWidth="1"/>
    <col min="13834" max="13834" width="15.42578125" style="31" bestFit="1" customWidth="1"/>
    <col min="13835" max="13835" width="9.42578125" style="31" bestFit="1" customWidth="1"/>
    <col min="13836" max="14079" width="9.140625" style="31"/>
    <col min="14080" max="14080" width="19" style="31" customWidth="1"/>
    <col min="14081" max="14081" width="57.5703125" style="31" customWidth="1"/>
    <col min="14082" max="14082" width="16.42578125" style="31" customWidth="1"/>
    <col min="14083" max="14084" width="17.7109375" style="31" bestFit="1" customWidth="1"/>
    <col min="14085" max="14085" width="15.7109375" style="31" customWidth="1"/>
    <col min="14086" max="14086" width="15.7109375" style="31" bestFit="1" customWidth="1"/>
    <col min="14087" max="14087" width="19.7109375" style="31" customWidth="1"/>
    <col min="14088" max="14088" width="15.42578125" style="31" bestFit="1" customWidth="1"/>
    <col min="14089" max="14089" width="9.42578125" style="31" bestFit="1" customWidth="1"/>
    <col min="14090" max="14090" width="15.42578125" style="31" bestFit="1" customWidth="1"/>
    <col min="14091" max="14091" width="9.42578125" style="31" bestFit="1" customWidth="1"/>
    <col min="14092" max="14335" width="9.140625" style="31"/>
    <col min="14336" max="14336" width="19" style="31" customWidth="1"/>
    <col min="14337" max="14337" width="57.5703125" style="31" customWidth="1"/>
    <col min="14338" max="14338" width="16.42578125" style="31" customWidth="1"/>
    <col min="14339" max="14340" width="17.7109375" style="31" bestFit="1" customWidth="1"/>
    <col min="14341" max="14341" width="15.7109375" style="31" customWidth="1"/>
    <col min="14342" max="14342" width="15.7109375" style="31" bestFit="1" customWidth="1"/>
    <col min="14343" max="14343" width="19.7109375" style="31" customWidth="1"/>
    <col min="14344" max="14344" width="15.42578125" style="31" bestFit="1" customWidth="1"/>
    <col min="14345" max="14345" width="9.42578125" style="31" bestFit="1" customWidth="1"/>
    <col min="14346" max="14346" width="15.42578125" style="31" bestFit="1" customWidth="1"/>
    <col min="14347" max="14347" width="9.42578125" style="31" bestFit="1" customWidth="1"/>
    <col min="14348" max="14591" width="9.140625" style="31"/>
    <col min="14592" max="14592" width="19" style="31" customWidth="1"/>
    <col min="14593" max="14593" width="57.5703125" style="31" customWidth="1"/>
    <col min="14594" max="14594" width="16.42578125" style="31" customWidth="1"/>
    <col min="14595" max="14596" width="17.7109375" style="31" bestFit="1" customWidth="1"/>
    <col min="14597" max="14597" width="15.7109375" style="31" customWidth="1"/>
    <col min="14598" max="14598" width="15.7109375" style="31" bestFit="1" customWidth="1"/>
    <col min="14599" max="14599" width="19.7109375" style="31" customWidth="1"/>
    <col min="14600" max="14600" width="15.42578125" style="31" bestFit="1" customWidth="1"/>
    <col min="14601" max="14601" width="9.42578125" style="31" bestFit="1" customWidth="1"/>
    <col min="14602" max="14602" width="15.42578125" style="31" bestFit="1" customWidth="1"/>
    <col min="14603" max="14603" width="9.42578125" style="31" bestFit="1" customWidth="1"/>
    <col min="14604" max="14847" width="9.140625" style="31"/>
    <col min="14848" max="14848" width="19" style="31" customWidth="1"/>
    <col min="14849" max="14849" width="57.5703125" style="31" customWidth="1"/>
    <col min="14850" max="14850" width="16.42578125" style="31" customWidth="1"/>
    <col min="14851" max="14852" width="17.7109375" style="31" bestFit="1" customWidth="1"/>
    <col min="14853" max="14853" width="15.7109375" style="31" customWidth="1"/>
    <col min="14854" max="14854" width="15.7109375" style="31" bestFit="1" customWidth="1"/>
    <col min="14855" max="14855" width="19.7109375" style="31" customWidth="1"/>
    <col min="14856" max="14856" width="15.42578125" style="31" bestFit="1" customWidth="1"/>
    <col min="14857" max="14857" width="9.42578125" style="31" bestFit="1" customWidth="1"/>
    <col min="14858" max="14858" width="15.42578125" style="31" bestFit="1" customWidth="1"/>
    <col min="14859" max="14859" width="9.42578125" style="31" bestFit="1" customWidth="1"/>
    <col min="14860" max="15103" width="9.140625" style="31"/>
    <col min="15104" max="15104" width="19" style="31" customWidth="1"/>
    <col min="15105" max="15105" width="57.5703125" style="31" customWidth="1"/>
    <col min="15106" max="15106" width="16.42578125" style="31" customWidth="1"/>
    <col min="15107" max="15108" width="17.7109375" style="31" bestFit="1" customWidth="1"/>
    <col min="15109" max="15109" width="15.7109375" style="31" customWidth="1"/>
    <col min="15110" max="15110" width="15.7109375" style="31" bestFit="1" customWidth="1"/>
    <col min="15111" max="15111" width="19.7109375" style="31" customWidth="1"/>
    <col min="15112" max="15112" width="15.42578125" style="31" bestFit="1" customWidth="1"/>
    <col min="15113" max="15113" width="9.42578125" style="31" bestFit="1" customWidth="1"/>
    <col min="15114" max="15114" width="15.42578125" style="31" bestFit="1" customWidth="1"/>
    <col min="15115" max="15115" width="9.42578125" style="31" bestFit="1" customWidth="1"/>
    <col min="15116" max="15359" width="9.140625" style="31"/>
    <col min="15360" max="15360" width="19" style="31" customWidth="1"/>
    <col min="15361" max="15361" width="57.5703125" style="31" customWidth="1"/>
    <col min="15362" max="15362" width="16.42578125" style="31" customWidth="1"/>
    <col min="15363" max="15364" width="17.7109375" style="31" bestFit="1" customWidth="1"/>
    <col min="15365" max="15365" width="15.7109375" style="31" customWidth="1"/>
    <col min="15366" max="15366" width="15.7109375" style="31" bestFit="1" customWidth="1"/>
    <col min="15367" max="15367" width="19.7109375" style="31" customWidth="1"/>
    <col min="15368" max="15368" width="15.42578125" style="31" bestFit="1" customWidth="1"/>
    <col min="15369" max="15369" width="9.42578125" style="31" bestFit="1" customWidth="1"/>
    <col min="15370" max="15370" width="15.42578125" style="31" bestFit="1" customWidth="1"/>
    <col min="15371" max="15371" width="9.42578125" style="31" bestFit="1" customWidth="1"/>
    <col min="15372" max="15615" width="9.140625" style="31"/>
    <col min="15616" max="15616" width="19" style="31" customWidth="1"/>
    <col min="15617" max="15617" width="57.5703125" style="31" customWidth="1"/>
    <col min="15618" max="15618" width="16.42578125" style="31" customWidth="1"/>
    <col min="15619" max="15620" width="17.7109375" style="31" bestFit="1" customWidth="1"/>
    <col min="15621" max="15621" width="15.7109375" style="31" customWidth="1"/>
    <col min="15622" max="15622" width="15.7109375" style="31" bestFit="1" customWidth="1"/>
    <col min="15623" max="15623" width="19.7109375" style="31" customWidth="1"/>
    <col min="15624" max="15624" width="15.42578125" style="31" bestFit="1" customWidth="1"/>
    <col min="15625" max="15625" width="9.42578125" style="31" bestFit="1" customWidth="1"/>
    <col min="15626" max="15626" width="15.42578125" style="31" bestFit="1" customWidth="1"/>
    <col min="15627" max="15627" width="9.42578125" style="31" bestFit="1" customWidth="1"/>
    <col min="15628" max="15871" width="9.140625" style="31"/>
    <col min="15872" max="15872" width="19" style="31" customWidth="1"/>
    <col min="15873" max="15873" width="57.5703125" style="31" customWidth="1"/>
    <col min="15874" max="15874" width="16.42578125" style="31" customWidth="1"/>
    <col min="15875" max="15876" width="17.7109375" style="31" bestFit="1" customWidth="1"/>
    <col min="15877" max="15877" width="15.7109375" style="31" customWidth="1"/>
    <col min="15878" max="15878" width="15.7109375" style="31" bestFit="1" customWidth="1"/>
    <col min="15879" max="15879" width="19.7109375" style="31" customWidth="1"/>
    <col min="15880" max="15880" width="15.42578125" style="31" bestFit="1" customWidth="1"/>
    <col min="15881" max="15881" width="9.42578125" style="31" bestFit="1" customWidth="1"/>
    <col min="15882" max="15882" width="15.42578125" style="31" bestFit="1" customWidth="1"/>
    <col min="15883" max="15883" width="9.42578125" style="31" bestFit="1" customWidth="1"/>
    <col min="15884" max="16127" width="9.140625" style="31"/>
    <col min="16128" max="16128" width="19" style="31" customWidth="1"/>
    <col min="16129" max="16129" width="57.5703125" style="31" customWidth="1"/>
    <col min="16130" max="16130" width="16.42578125" style="31" customWidth="1"/>
    <col min="16131" max="16132" width="17.7109375" style="31" bestFit="1" customWidth="1"/>
    <col min="16133" max="16133" width="15.7109375" style="31" customWidth="1"/>
    <col min="16134" max="16134" width="15.7109375" style="31" bestFit="1" customWidth="1"/>
    <col min="16135" max="16135" width="19.7109375" style="31" customWidth="1"/>
    <col min="16136" max="16136" width="15.42578125" style="31" bestFit="1" customWidth="1"/>
    <col min="16137" max="16137" width="9.42578125" style="31" bestFit="1" customWidth="1"/>
    <col min="16138" max="16138" width="15.42578125" style="31" bestFit="1" customWidth="1"/>
    <col min="16139" max="16139" width="9.42578125" style="31" bestFit="1" customWidth="1"/>
    <col min="16140" max="16384" width="9.140625" style="31"/>
  </cols>
  <sheetData>
    <row r="1" spans="1:14" ht="20.25" hidden="1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58"/>
      <c r="L1" s="58"/>
      <c r="M1" s="58"/>
      <c r="N1" s="58"/>
    </row>
    <row r="2" spans="1:14" ht="15.75" hidden="1" customHeight="1" x14ac:dyDescent="0.2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58"/>
      <c r="L2" s="58"/>
      <c r="M2" s="58"/>
      <c r="N2" s="58"/>
    </row>
    <row r="3" spans="1:14" ht="18" hidden="1" customHeight="1" x14ac:dyDescent="0.2">
      <c r="A3" s="69"/>
      <c r="B3" s="69"/>
      <c r="C3" s="69"/>
      <c r="D3" s="69"/>
      <c r="E3" s="69"/>
      <c r="F3" s="69"/>
      <c r="G3" s="69"/>
      <c r="H3" s="69"/>
      <c r="I3" s="70"/>
      <c r="J3" s="70"/>
      <c r="K3" s="58"/>
      <c r="L3" s="58"/>
      <c r="M3" s="58"/>
      <c r="N3" s="58"/>
    </row>
    <row r="4" spans="1:14" ht="18" x14ac:dyDescent="0.2">
      <c r="A4" s="69"/>
      <c r="B4" s="69"/>
      <c r="C4" s="69"/>
      <c r="D4" s="69"/>
      <c r="E4" s="69"/>
      <c r="F4" s="69"/>
      <c r="G4" s="69"/>
      <c r="H4" s="69"/>
      <c r="I4" s="70"/>
      <c r="J4" s="70"/>
      <c r="K4" s="58"/>
      <c r="L4" s="58"/>
      <c r="M4" s="58"/>
      <c r="N4" s="58"/>
    </row>
    <row r="5" spans="1:14" ht="15.75" customHeight="1" x14ac:dyDescent="0.2">
      <c r="A5" s="271" t="s">
        <v>53</v>
      </c>
      <c r="B5" s="271"/>
      <c r="C5" s="271"/>
      <c r="D5" s="271"/>
      <c r="E5" s="271"/>
      <c r="F5" s="271"/>
      <c r="G5" s="271"/>
      <c r="H5" s="271"/>
      <c r="I5" s="37"/>
      <c r="J5" s="37"/>
      <c r="K5" s="58"/>
      <c r="L5" s="58"/>
      <c r="M5" s="58"/>
      <c r="N5" s="58"/>
    </row>
    <row r="6" spans="1:14" ht="18" x14ac:dyDescent="0.2">
      <c r="A6" s="69"/>
      <c r="B6" s="69"/>
      <c r="C6" s="69"/>
      <c r="D6" s="69"/>
      <c r="E6" s="69"/>
      <c r="F6" s="69"/>
      <c r="G6" s="69"/>
      <c r="H6" s="69"/>
      <c r="I6" s="70"/>
      <c r="J6" s="70"/>
      <c r="K6" s="58"/>
      <c r="L6" s="58"/>
      <c r="M6" s="58"/>
      <c r="N6" s="58"/>
    </row>
    <row r="7" spans="1:14" s="32" customFormat="1" ht="38.25" x14ac:dyDescent="0.25">
      <c r="A7" s="270" t="s">
        <v>3</v>
      </c>
      <c r="B7" s="270"/>
      <c r="C7" s="223" t="s">
        <v>556</v>
      </c>
      <c r="D7" s="224" t="s">
        <v>597</v>
      </c>
      <c r="E7" s="224" t="s">
        <v>598</v>
      </c>
      <c r="F7" s="223" t="s">
        <v>558</v>
      </c>
      <c r="G7" s="72" t="s">
        <v>260</v>
      </c>
      <c r="H7" s="72" t="s">
        <v>261</v>
      </c>
      <c r="I7" s="59"/>
      <c r="J7" s="59"/>
      <c r="K7" s="59"/>
      <c r="L7" s="59"/>
      <c r="M7" s="59"/>
      <c r="N7" s="59"/>
    </row>
    <row r="8" spans="1:14" s="33" customFormat="1" ht="12.75" customHeight="1" x14ac:dyDescent="0.2">
      <c r="A8" s="269">
        <v>1</v>
      </c>
      <c r="B8" s="269"/>
      <c r="C8" s="73">
        <v>2</v>
      </c>
      <c r="D8" s="73">
        <v>3</v>
      </c>
      <c r="E8" s="73">
        <v>4.3333333333333304</v>
      </c>
      <c r="F8" s="73">
        <v>5.0833333333333304</v>
      </c>
      <c r="G8" s="73">
        <v>6</v>
      </c>
      <c r="H8" s="73">
        <v>7</v>
      </c>
      <c r="I8" s="62"/>
      <c r="J8" s="62"/>
      <c r="K8" s="62"/>
      <c r="L8" s="60"/>
      <c r="M8" s="60"/>
      <c r="N8" s="60"/>
    </row>
    <row r="9" spans="1:14" ht="15" customHeight="1" x14ac:dyDescent="0.2">
      <c r="A9" s="64" t="s">
        <v>27</v>
      </c>
      <c r="B9" s="64" t="s">
        <v>26</v>
      </c>
      <c r="C9" s="68" t="s">
        <v>28</v>
      </c>
      <c r="D9" s="68" t="s">
        <v>28</v>
      </c>
      <c r="E9" s="68" t="s">
        <v>28</v>
      </c>
      <c r="F9" s="68" t="s">
        <v>28</v>
      </c>
      <c r="G9" s="68" t="s">
        <v>26</v>
      </c>
      <c r="H9" s="68" t="s">
        <v>26</v>
      </c>
      <c r="I9" s="63"/>
      <c r="J9" s="63"/>
      <c r="K9" s="63"/>
      <c r="L9" s="61"/>
      <c r="M9" s="61"/>
      <c r="N9" s="61"/>
    </row>
    <row r="10" spans="1:14" x14ac:dyDescent="0.2">
      <c r="A10" s="171" t="s">
        <v>29</v>
      </c>
      <c r="B10" s="171" t="s">
        <v>26</v>
      </c>
      <c r="C10" s="172">
        <f>+C11+C14+C16+C18+C27+C29</f>
        <v>5376817.9500000002</v>
      </c>
      <c r="D10" s="173">
        <f>+D11+D14+D16+D18+D27+D29</f>
        <v>12208893</v>
      </c>
      <c r="E10" s="173">
        <f>+E11+E14+E16+E18+E27+E29</f>
        <v>12208893</v>
      </c>
      <c r="F10" s="172">
        <f>+F11+F14+F16+F18+F27+F29</f>
        <v>5930106.3099999996</v>
      </c>
      <c r="G10" s="172">
        <f>+F10/C10*100</f>
        <v>110.29025652616711</v>
      </c>
      <c r="H10" s="172">
        <f>+F10/E10*100</f>
        <v>48.572022950811345</v>
      </c>
      <c r="I10" s="66"/>
      <c r="J10" s="66"/>
      <c r="K10" s="66"/>
      <c r="L10" s="65"/>
      <c r="M10" s="65"/>
      <c r="N10" s="65"/>
    </row>
    <row r="11" spans="1:14" x14ac:dyDescent="0.2">
      <c r="A11" s="167" t="s">
        <v>54</v>
      </c>
      <c r="B11" s="168" t="s">
        <v>55</v>
      </c>
      <c r="C11" s="169">
        <f>+C12</f>
        <v>4906863.8600000003</v>
      </c>
      <c r="D11" s="170">
        <f t="shared" ref="D11" si="0">+D12</f>
        <v>10524629</v>
      </c>
      <c r="E11" s="170">
        <f t="shared" ref="E11" si="1">+E12</f>
        <v>10524629</v>
      </c>
      <c r="F11" s="169">
        <f t="shared" ref="F11" si="2">+F12</f>
        <v>5115015.5599999996</v>
      </c>
      <c r="G11" s="169">
        <f t="shared" ref="G11:G42" si="3">+F11/C11*100</f>
        <v>104.24205166352422</v>
      </c>
      <c r="H11" s="169">
        <f t="shared" ref="H11:H43" si="4">+F11/E11*100</f>
        <v>48.600435796834255</v>
      </c>
      <c r="I11" s="66"/>
      <c r="J11" s="66"/>
      <c r="K11" s="66"/>
      <c r="L11" s="65"/>
      <c r="M11" s="65"/>
      <c r="N11" s="65"/>
    </row>
    <row r="12" spans="1:14" x14ac:dyDescent="0.2">
      <c r="A12" s="78" t="s">
        <v>56</v>
      </c>
      <c r="B12" s="79" t="s">
        <v>55</v>
      </c>
      <c r="C12" s="218">
        <v>4906863.8600000003</v>
      </c>
      <c r="D12" s="77">
        <v>10524629</v>
      </c>
      <c r="E12" s="77">
        <v>10524629</v>
      </c>
      <c r="F12" s="77">
        <v>5115015.5599999996</v>
      </c>
      <c r="G12" s="158"/>
      <c r="H12" s="158"/>
      <c r="I12" s="74"/>
      <c r="J12" s="74"/>
      <c r="K12" s="74"/>
      <c r="L12" s="74"/>
      <c r="M12" s="74"/>
      <c r="N12" s="74"/>
    </row>
    <row r="13" spans="1:14" x14ac:dyDescent="0.2">
      <c r="A13" s="107">
        <v>12</v>
      </c>
      <c r="B13" s="142" t="s">
        <v>74</v>
      </c>
      <c r="C13" s="218"/>
      <c r="D13" s="158"/>
      <c r="E13" s="158"/>
      <c r="F13" s="158"/>
      <c r="G13" s="158"/>
      <c r="H13" s="158"/>
      <c r="I13" s="153"/>
      <c r="J13" s="153"/>
      <c r="K13" s="153"/>
      <c r="L13" s="153"/>
      <c r="M13" s="153"/>
      <c r="N13" s="153"/>
    </row>
    <row r="14" spans="1:14" x14ac:dyDescent="0.2">
      <c r="A14" s="167" t="s">
        <v>81</v>
      </c>
      <c r="B14" s="168" t="s">
        <v>485</v>
      </c>
      <c r="C14" s="220">
        <f>+C15</f>
        <v>14547.25</v>
      </c>
      <c r="D14" s="170">
        <f t="shared" ref="D14" si="5">+D15</f>
        <v>50000</v>
      </c>
      <c r="E14" s="170">
        <f t="shared" ref="E14" si="6">+E15</f>
        <v>50000</v>
      </c>
      <c r="F14" s="169">
        <f t="shared" ref="F14" si="7">+F15</f>
        <v>25623.07</v>
      </c>
      <c r="G14" s="169">
        <f t="shared" si="3"/>
        <v>176.1368643558061</v>
      </c>
      <c r="H14" s="169">
        <f t="shared" si="4"/>
        <v>51.246139999999997</v>
      </c>
      <c r="I14" s="134"/>
      <c r="J14" s="134"/>
      <c r="K14" s="134"/>
      <c r="L14" s="151"/>
      <c r="M14" s="151"/>
      <c r="N14" s="151"/>
    </row>
    <row r="15" spans="1:14" x14ac:dyDescent="0.2">
      <c r="A15" s="78" t="s">
        <v>83</v>
      </c>
      <c r="B15" s="79" t="s">
        <v>485</v>
      </c>
      <c r="C15" s="218">
        <v>14547.25</v>
      </c>
      <c r="D15" s="80">
        <v>50000</v>
      </c>
      <c r="E15" s="80">
        <v>50000</v>
      </c>
      <c r="F15" s="77">
        <v>25623.07</v>
      </c>
      <c r="G15" s="158"/>
      <c r="H15" s="158"/>
      <c r="I15" s="74"/>
      <c r="J15" s="74"/>
      <c r="K15" s="74"/>
      <c r="L15" s="74"/>
      <c r="M15" s="74"/>
      <c r="N15" s="74"/>
    </row>
    <row r="16" spans="1:14" x14ac:dyDescent="0.2">
      <c r="A16" s="167" t="s">
        <v>57</v>
      </c>
      <c r="B16" s="168" t="s">
        <v>58</v>
      </c>
      <c r="C16" s="220">
        <f>+C17</f>
        <v>141419.49</v>
      </c>
      <c r="D16" s="170">
        <f t="shared" ref="D16" si="8">+D17</f>
        <v>400000</v>
      </c>
      <c r="E16" s="170">
        <f t="shared" ref="E16" si="9">+E17</f>
        <v>400000</v>
      </c>
      <c r="F16" s="169">
        <f t="shared" ref="F16" si="10">+F17</f>
        <v>179854.34</v>
      </c>
      <c r="G16" s="169">
        <f t="shared" si="3"/>
        <v>127.17790171637589</v>
      </c>
      <c r="H16" s="169">
        <f t="shared" si="4"/>
        <v>44.963585000000002</v>
      </c>
      <c r="I16" s="134"/>
      <c r="J16" s="134"/>
      <c r="K16" s="134"/>
      <c r="L16" s="151"/>
      <c r="M16" s="151"/>
      <c r="N16" s="151"/>
    </row>
    <row r="17" spans="1:14" x14ac:dyDescent="0.2">
      <c r="A17" s="78" t="s">
        <v>60</v>
      </c>
      <c r="B17" s="79" t="s">
        <v>61</v>
      </c>
      <c r="C17" s="218">
        <v>141419.49</v>
      </c>
      <c r="D17" s="80">
        <v>400000</v>
      </c>
      <c r="E17" s="80">
        <v>400000</v>
      </c>
      <c r="F17" s="77">
        <v>179854.34</v>
      </c>
      <c r="G17" s="158"/>
      <c r="H17" s="158"/>
      <c r="I17" s="74"/>
      <c r="J17" s="74"/>
      <c r="K17" s="74"/>
      <c r="L17" s="74"/>
      <c r="M17" s="74"/>
      <c r="N17" s="74"/>
    </row>
    <row r="18" spans="1:14" x14ac:dyDescent="0.2">
      <c r="A18" s="167" t="s">
        <v>62</v>
      </c>
      <c r="B18" s="168" t="s">
        <v>63</v>
      </c>
      <c r="C18" s="220">
        <f>SUM(C21:C26)</f>
        <v>313987.34999999998</v>
      </c>
      <c r="D18" s="170">
        <f>SUM(D19:D26)</f>
        <v>1234264</v>
      </c>
      <c r="E18" s="220">
        <f>SUM(E19:E26)</f>
        <v>1234264</v>
      </c>
      <c r="F18" s="169">
        <f>SUM(F19:F26)</f>
        <v>600546.06999999995</v>
      </c>
      <c r="G18" s="169">
        <f t="shared" si="3"/>
        <v>191.26441558871718</v>
      </c>
      <c r="H18" s="169">
        <f t="shared" si="4"/>
        <v>48.656208882378479</v>
      </c>
      <c r="I18" s="134"/>
      <c r="J18" s="134"/>
      <c r="K18" s="134"/>
      <c r="L18" s="151"/>
      <c r="M18" s="151"/>
      <c r="N18" s="151"/>
    </row>
    <row r="19" spans="1:14" x14ac:dyDescent="0.2">
      <c r="A19" s="107">
        <v>5011</v>
      </c>
      <c r="B19" s="142" t="s">
        <v>587</v>
      </c>
      <c r="C19" s="221"/>
      <c r="D19" s="222">
        <v>188624</v>
      </c>
      <c r="E19" s="222">
        <v>188624</v>
      </c>
      <c r="F19" s="221">
        <v>254697.28</v>
      </c>
      <c r="G19" s="169"/>
      <c r="H19" s="169"/>
      <c r="I19" s="134"/>
      <c r="J19" s="134"/>
      <c r="K19" s="134"/>
      <c r="L19" s="151"/>
      <c r="M19" s="151"/>
      <c r="N19" s="151"/>
    </row>
    <row r="20" spans="1:14" ht="25.5" x14ac:dyDescent="0.2">
      <c r="A20" s="107">
        <v>5043</v>
      </c>
      <c r="B20" s="142" t="s">
        <v>606</v>
      </c>
      <c r="C20" s="221"/>
      <c r="D20" s="222">
        <v>1750</v>
      </c>
      <c r="E20" s="222">
        <v>1750</v>
      </c>
      <c r="F20" s="221">
        <v>0</v>
      </c>
      <c r="G20" s="169"/>
      <c r="H20" s="169"/>
      <c r="I20" s="134"/>
      <c r="J20" s="134"/>
      <c r="K20" s="134"/>
      <c r="L20" s="151"/>
      <c r="M20" s="151"/>
      <c r="N20" s="151"/>
    </row>
    <row r="21" spans="1:14" x14ac:dyDescent="0.2">
      <c r="A21" s="78" t="s">
        <v>64</v>
      </c>
      <c r="B21" s="79" t="s">
        <v>65</v>
      </c>
      <c r="C21" s="218"/>
      <c r="D21" s="80">
        <v>0</v>
      </c>
      <c r="E21" s="222">
        <v>0</v>
      </c>
      <c r="F21" s="77">
        <v>123877.18</v>
      </c>
      <c r="G21" s="169"/>
      <c r="H21" s="169"/>
      <c r="I21" s="74"/>
      <c r="J21" s="74"/>
      <c r="K21" s="74"/>
      <c r="L21" s="74"/>
      <c r="M21" s="74"/>
      <c r="N21" s="74"/>
    </row>
    <row r="22" spans="1:14" x14ac:dyDescent="0.2">
      <c r="A22" s="78" t="s">
        <v>75</v>
      </c>
      <c r="B22" s="79" t="s">
        <v>76</v>
      </c>
      <c r="C22" s="218">
        <v>313987.34999999998</v>
      </c>
      <c r="D22" s="80">
        <v>0</v>
      </c>
      <c r="E22" s="222">
        <v>0</v>
      </c>
      <c r="F22" s="77">
        <v>13200</v>
      </c>
      <c r="G22" s="169"/>
      <c r="H22" s="169"/>
      <c r="I22" s="74"/>
      <c r="J22" s="74"/>
      <c r="K22" s="74"/>
      <c r="L22" s="74"/>
      <c r="M22" s="74"/>
      <c r="N22" s="74"/>
    </row>
    <row r="23" spans="1:14" x14ac:dyDescent="0.2">
      <c r="A23" s="107">
        <v>533</v>
      </c>
      <c r="B23" s="142" t="s">
        <v>589</v>
      </c>
      <c r="C23" s="221"/>
      <c r="D23" s="222">
        <v>100000</v>
      </c>
      <c r="E23" s="222">
        <v>100000</v>
      </c>
      <c r="F23" s="221">
        <v>30234.959999999999</v>
      </c>
      <c r="G23" s="169"/>
      <c r="H23" s="169"/>
      <c r="I23" s="153"/>
      <c r="J23" s="153"/>
      <c r="K23" s="153"/>
      <c r="L23" s="153"/>
      <c r="M23" s="153"/>
      <c r="N23" s="153"/>
    </row>
    <row r="24" spans="1:14" x14ac:dyDescent="0.2">
      <c r="A24" s="78" t="s">
        <v>66</v>
      </c>
      <c r="B24" s="79" t="s">
        <v>67</v>
      </c>
      <c r="C24" s="219"/>
      <c r="D24" s="80"/>
      <c r="E24" s="80"/>
      <c r="F24" s="77"/>
      <c r="G24" s="169"/>
      <c r="H24" s="169"/>
      <c r="I24" s="74"/>
      <c r="J24" s="74"/>
      <c r="K24" s="74"/>
      <c r="L24" s="74"/>
      <c r="M24" s="74"/>
      <c r="N24" s="74"/>
    </row>
    <row r="25" spans="1:14" x14ac:dyDescent="0.2">
      <c r="A25" s="78" t="s">
        <v>68</v>
      </c>
      <c r="B25" s="79" t="s">
        <v>69</v>
      </c>
      <c r="C25" s="219"/>
      <c r="D25" s="80"/>
      <c r="E25" s="80"/>
      <c r="F25" s="77"/>
      <c r="G25" s="169"/>
      <c r="H25" s="169"/>
      <c r="I25" s="74"/>
      <c r="J25" s="74"/>
      <c r="K25" s="74"/>
      <c r="L25" s="74"/>
      <c r="M25" s="74"/>
      <c r="N25" s="74"/>
    </row>
    <row r="26" spans="1:14" x14ac:dyDescent="0.2">
      <c r="A26" s="78" t="s">
        <v>70</v>
      </c>
      <c r="B26" s="79" t="s">
        <v>71</v>
      </c>
      <c r="C26" s="219"/>
      <c r="D26" s="80">
        <v>943890</v>
      </c>
      <c r="E26" s="80">
        <v>943890</v>
      </c>
      <c r="F26" s="77">
        <v>178536.65</v>
      </c>
      <c r="G26" s="169"/>
      <c r="H26" s="169">
        <f t="shared" si="4"/>
        <v>18.91498479695727</v>
      </c>
      <c r="I26" s="74"/>
      <c r="J26" s="74"/>
      <c r="K26" s="74"/>
      <c r="L26" s="215"/>
      <c r="M26" s="74"/>
      <c r="N26" s="74"/>
    </row>
    <row r="27" spans="1:14" x14ac:dyDescent="0.2">
      <c r="A27" s="167" t="s">
        <v>30</v>
      </c>
      <c r="B27" s="168" t="s">
        <v>486</v>
      </c>
      <c r="C27" s="220">
        <f>+C28</f>
        <v>0</v>
      </c>
      <c r="D27" s="170"/>
      <c r="E27" s="170"/>
      <c r="F27" s="169">
        <f t="shared" ref="F27" si="11">+F28</f>
        <v>9067.27</v>
      </c>
      <c r="G27" s="169"/>
      <c r="H27" s="169"/>
      <c r="I27" s="134"/>
      <c r="J27" s="134"/>
      <c r="K27" s="134"/>
      <c r="L27" s="214"/>
      <c r="M27" s="151"/>
      <c r="N27" s="151"/>
    </row>
    <row r="28" spans="1:14" x14ac:dyDescent="0.2">
      <c r="A28" s="78" t="s">
        <v>32</v>
      </c>
      <c r="B28" s="79" t="s">
        <v>486</v>
      </c>
      <c r="C28" s="219"/>
      <c r="D28" s="80"/>
      <c r="E28" s="80"/>
      <c r="F28" s="77">
        <v>9067.27</v>
      </c>
      <c r="G28" s="158"/>
      <c r="H28" s="169"/>
      <c r="I28" s="74"/>
      <c r="J28" s="74"/>
      <c r="K28" s="74"/>
      <c r="L28" s="74"/>
      <c r="M28" s="74"/>
      <c r="N28" s="74"/>
    </row>
    <row r="29" spans="1:14" x14ac:dyDescent="0.2">
      <c r="A29" s="167" t="s">
        <v>337</v>
      </c>
      <c r="B29" s="168" t="s">
        <v>487</v>
      </c>
      <c r="C29" s="220">
        <f>+C30</f>
        <v>0</v>
      </c>
      <c r="D29" s="170"/>
      <c r="E29" s="170"/>
      <c r="F29" s="169"/>
      <c r="G29" s="169"/>
      <c r="H29" s="169"/>
      <c r="I29" s="134"/>
      <c r="J29" s="134"/>
      <c r="K29" s="134"/>
      <c r="L29" s="151"/>
      <c r="M29" s="151"/>
      <c r="N29" s="151"/>
    </row>
    <row r="30" spans="1:14" x14ac:dyDescent="0.2">
      <c r="A30" s="78" t="s">
        <v>339</v>
      </c>
      <c r="B30" s="79" t="s">
        <v>487</v>
      </c>
      <c r="C30" s="219"/>
      <c r="D30" s="80"/>
      <c r="E30" s="80"/>
      <c r="F30" s="77"/>
      <c r="G30" s="158"/>
      <c r="H30" s="158"/>
      <c r="I30" s="74"/>
      <c r="J30" s="74"/>
      <c r="K30" s="74"/>
      <c r="L30" s="74"/>
      <c r="M30" s="74"/>
      <c r="N30" s="74"/>
    </row>
    <row r="31" spans="1:14" x14ac:dyDescent="0.2">
      <c r="A31" s="171" t="s">
        <v>72</v>
      </c>
      <c r="B31" s="171" t="s">
        <v>26</v>
      </c>
      <c r="C31" s="173">
        <f>+C32+C35+C37+C39+C47+C49+C51</f>
        <v>5615657.4499999993</v>
      </c>
      <c r="D31" s="173">
        <f>+D32+D35+D37+D39+D47+D49+D51</f>
        <v>11847989</v>
      </c>
      <c r="E31" s="173">
        <f>+E32+E35+E37+E39+E47+E49+E51</f>
        <v>11847989</v>
      </c>
      <c r="F31" s="172">
        <f>+F32+F35+F37+F39+F47+F49+F51</f>
        <v>5912930.5899999999</v>
      </c>
      <c r="G31" s="172">
        <f t="shared" si="3"/>
        <v>105.29364803047238</v>
      </c>
      <c r="H31" s="172">
        <f t="shared" si="4"/>
        <v>49.906617823497299</v>
      </c>
      <c r="I31" s="67"/>
      <c r="J31" s="67"/>
      <c r="K31" s="67"/>
      <c r="L31" s="67"/>
      <c r="M31" s="67"/>
      <c r="N31" s="67"/>
    </row>
    <row r="32" spans="1:14" x14ac:dyDescent="0.2">
      <c r="A32" s="167" t="s">
        <v>54</v>
      </c>
      <c r="B32" s="168" t="s">
        <v>55</v>
      </c>
      <c r="C32" s="220">
        <f>+C33+C34</f>
        <v>5050391.2699999996</v>
      </c>
      <c r="D32" s="170">
        <f>+D33+D34</f>
        <v>10524629</v>
      </c>
      <c r="E32" s="170">
        <f>+E33+E34</f>
        <v>10524629</v>
      </c>
      <c r="F32" s="169">
        <f>+F33+F34</f>
        <v>5274981.03</v>
      </c>
      <c r="G32" s="169">
        <f t="shared" si="3"/>
        <v>104.44697743190896</v>
      </c>
      <c r="H32" s="169">
        <f t="shared" si="4"/>
        <v>50.120351320697388</v>
      </c>
      <c r="I32" s="134"/>
      <c r="J32" s="134"/>
      <c r="K32" s="134"/>
      <c r="L32" s="151"/>
      <c r="M32" s="151"/>
      <c r="N32" s="151"/>
    </row>
    <row r="33" spans="1:14" x14ac:dyDescent="0.2">
      <c r="A33" s="78" t="s">
        <v>56</v>
      </c>
      <c r="B33" s="79" t="s">
        <v>55</v>
      </c>
      <c r="C33" s="218">
        <v>5050391.2699999996</v>
      </c>
      <c r="D33" s="80">
        <v>10524629</v>
      </c>
      <c r="E33" s="80">
        <v>10524629</v>
      </c>
      <c r="F33" s="221">
        <v>5274981.03</v>
      </c>
      <c r="G33" s="158">
        <f t="shared" si="3"/>
        <v>104.44697743190896</v>
      </c>
      <c r="H33" s="158">
        <f t="shared" si="4"/>
        <v>50.120351320697388</v>
      </c>
      <c r="I33" s="74"/>
      <c r="J33" s="209"/>
      <c r="K33" s="74"/>
      <c r="L33" s="74"/>
      <c r="M33" s="74"/>
      <c r="N33" s="74"/>
    </row>
    <row r="34" spans="1:14" x14ac:dyDescent="0.2">
      <c r="A34" s="78" t="s">
        <v>73</v>
      </c>
      <c r="B34" s="79" t="s">
        <v>74</v>
      </c>
      <c r="C34" s="219"/>
      <c r="D34" s="80"/>
      <c r="E34" s="80"/>
      <c r="F34" s="77"/>
      <c r="G34" s="158"/>
      <c r="H34" s="158"/>
      <c r="I34" s="74"/>
      <c r="J34" s="74"/>
      <c r="K34" s="74"/>
      <c r="L34" s="74"/>
      <c r="M34" s="74"/>
      <c r="N34" s="74"/>
    </row>
    <row r="35" spans="1:14" x14ac:dyDescent="0.2">
      <c r="A35" s="167" t="s">
        <v>81</v>
      </c>
      <c r="B35" s="168" t="s">
        <v>485</v>
      </c>
      <c r="C35" s="220">
        <f>+C36</f>
        <v>26584.27</v>
      </c>
      <c r="D35" s="170">
        <f t="shared" ref="D35" si="12">+D36</f>
        <v>51950</v>
      </c>
      <c r="E35" s="170">
        <f t="shared" ref="E35" si="13">+E36</f>
        <v>51950</v>
      </c>
      <c r="F35" s="169">
        <f t="shared" ref="F35" si="14">+F36</f>
        <v>149.61000000000001</v>
      </c>
      <c r="G35" s="169">
        <f t="shared" si="3"/>
        <v>0.56277640875600499</v>
      </c>
      <c r="H35" s="169">
        <f t="shared" si="4"/>
        <v>0.28798845043310878</v>
      </c>
      <c r="I35" s="134"/>
      <c r="J35" s="205"/>
      <c r="K35" s="134"/>
      <c r="L35" s="151"/>
      <c r="M35" s="151"/>
      <c r="N35" s="151"/>
    </row>
    <row r="36" spans="1:14" x14ac:dyDescent="0.2">
      <c r="A36" s="78" t="s">
        <v>83</v>
      </c>
      <c r="B36" s="79" t="s">
        <v>485</v>
      </c>
      <c r="C36" s="218">
        <v>26584.27</v>
      </c>
      <c r="D36" s="147">
        <v>51950</v>
      </c>
      <c r="E36" s="147">
        <v>51950</v>
      </c>
      <c r="F36" s="77">
        <v>149.61000000000001</v>
      </c>
      <c r="G36" s="158">
        <f t="shared" si="3"/>
        <v>0.56277640875600499</v>
      </c>
      <c r="H36" s="158">
        <f t="shared" si="4"/>
        <v>0.28798845043310878</v>
      </c>
      <c r="I36" s="74"/>
      <c r="J36" s="74"/>
      <c r="K36" s="74"/>
      <c r="L36" s="74"/>
      <c r="M36" s="74"/>
      <c r="N36" s="74"/>
    </row>
    <row r="37" spans="1:14" x14ac:dyDescent="0.2">
      <c r="A37" s="167" t="s">
        <v>57</v>
      </c>
      <c r="B37" s="168" t="s">
        <v>58</v>
      </c>
      <c r="C37" s="220">
        <f>+C38</f>
        <v>143496.70000000001</v>
      </c>
      <c r="D37" s="170">
        <f t="shared" ref="D37" si="15">+D38</f>
        <v>356897</v>
      </c>
      <c r="E37" s="170">
        <f t="shared" ref="E37" si="16">+E38</f>
        <v>356897</v>
      </c>
      <c r="F37" s="169">
        <f t="shared" ref="F37" si="17">+F38</f>
        <v>89835.97</v>
      </c>
      <c r="G37" s="169">
        <f t="shared" si="3"/>
        <v>62.604903109270104</v>
      </c>
      <c r="H37" s="169">
        <f t="shared" si="4"/>
        <v>25.171399591478778</v>
      </c>
      <c r="I37" s="134"/>
      <c r="J37" s="134"/>
      <c r="K37" s="134"/>
      <c r="L37" s="151"/>
      <c r="M37" s="151"/>
      <c r="N37" s="151"/>
    </row>
    <row r="38" spans="1:14" x14ac:dyDescent="0.2">
      <c r="A38" s="78" t="s">
        <v>60</v>
      </c>
      <c r="B38" s="79" t="s">
        <v>61</v>
      </c>
      <c r="C38" s="218">
        <v>143496.70000000001</v>
      </c>
      <c r="D38" s="80">
        <v>356897</v>
      </c>
      <c r="E38" s="80">
        <v>356897</v>
      </c>
      <c r="F38" s="221">
        <v>89835.97</v>
      </c>
      <c r="G38" s="158">
        <f t="shared" si="3"/>
        <v>62.604903109270104</v>
      </c>
      <c r="H38" s="158">
        <f t="shared" si="4"/>
        <v>25.171399591478778</v>
      </c>
      <c r="I38" s="74"/>
      <c r="J38" s="74"/>
      <c r="K38" s="74"/>
      <c r="L38" s="74"/>
      <c r="M38" s="74"/>
      <c r="N38" s="74"/>
    </row>
    <row r="39" spans="1:14" x14ac:dyDescent="0.2">
      <c r="A39" s="167" t="s">
        <v>62</v>
      </c>
      <c r="B39" s="168" t="s">
        <v>63</v>
      </c>
      <c r="C39" s="220">
        <f>SUM(C41:C46)</f>
        <v>395185.20999999996</v>
      </c>
      <c r="D39" s="170">
        <f>SUM(D40:D46)</f>
        <v>914513</v>
      </c>
      <c r="E39" s="220">
        <f>SUM(E40:E46)</f>
        <v>914513</v>
      </c>
      <c r="F39" s="169">
        <f>SUM(F40:F46)</f>
        <v>547963.98</v>
      </c>
      <c r="G39" s="169">
        <f t="shared" si="3"/>
        <v>138.6600424646459</v>
      </c>
      <c r="H39" s="169">
        <f t="shared" si="4"/>
        <v>59.918664906895799</v>
      </c>
      <c r="I39" s="134"/>
      <c r="J39" s="134"/>
      <c r="K39" s="134"/>
      <c r="L39" s="151"/>
      <c r="M39" s="151"/>
      <c r="N39" s="151"/>
    </row>
    <row r="40" spans="1:14" x14ac:dyDescent="0.2">
      <c r="A40" s="107">
        <v>5011</v>
      </c>
      <c r="B40" s="142" t="s">
        <v>587</v>
      </c>
      <c r="C40" s="221"/>
      <c r="D40" s="222">
        <v>188624</v>
      </c>
      <c r="E40" s="222">
        <v>188624</v>
      </c>
      <c r="F40" s="221">
        <v>165178.12</v>
      </c>
      <c r="G40" s="221"/>
      <c r="H40" s="221"/>
      <c r="I40" s="153"/>
      <c r="J40" s="153"/>
      <c r="K40" s="153"/>
      <c r="L40" s="153"/>
      <c r="M40" s="153"/>
      <c r="N40" s="153"/>
    </row>
    <row r="41" spans="1:14" x14ac:dyDescent="0.2">
      <c r="A41" s="107" t="s">
        <v>607</v>
      </c>
      <c r="B41" s="79" t="s">
        <v>65</v>
      </c>
      <c r="C41" s="218">
        <v>127217.05</v>
      </c>
      <c r="D41" s="80">
        <v>268216</v>
      </c>
      <c r="E41" s="80">
        <v>268216</v>
      </c>
      <c r="F41" s="221">
        <v>140737.94</v>
      </c>
      <c r="G41" s="158">
        <f t="shared" si="3"/>
        <v>110.62820588906912</v>
      </c>
      <c r="H41" s="158">
        <f t="shared" si="4"/>
        <v>52.471865958779496</v>
      </c>
      <c r="I41" s="74"/>
      <c r="J41" s="74"/>
      <c r="K41" s="74"/>
      <c r="L41" s="74"/>
      <c r="M41" s="74"/>
      <c r="N41" s="74"/>
    </row>
    <row r="42" spans="1:14" x14ac:dyDescent="0.2">
      <c r="A42" s="78" t="s">
        <v>75</v>
      </c>
      <c r="B42" s="79" t="s">
        <v>76</v>
      </c>
      <c r="C42" s="218">
        <v>267968.15999999997</v>
      </c>
      <c r="D42" s="80">
        <v>0</v>
      </c>
      <c r="E42" s="80">
        <v>0</v>
      </c>
      <c r="F42" s="221">
        <v>4924.21</v>
      </c>
      <c r="G42" s="158">
        <f t="shared" si="3"/>
        <v>1.8376101100966622</v>
      </c>
      <c r="H42" s="158"/>
      <c r="I42" s="74"/>
      <c r="J42" s="74"/>
      <c r="K42" s="74"/>
      <c r="L42" s="74"/>
      <c r="M42" s="74"/>
      <c r="N42" s="74"/>
    </row>
    <row r="43" spans="1:14" x14ac:dyDescent="0.2">
      <c r="A43" s="107">
        <v>533</v>
      </c>
      <c r="B43" s="142" t="s">
        <v>589</v>
      </c>
      <c r="C43" s="221"/>
      <c r="D43" s="222">
        <v>100600</v>
      </c>
      <c r="E43" s="222">
        <v>100600</v>
      </c>
      <c r="F43" s="221">
        <v>121317.23</v>
      </c>
      <c r="G43" s="221"/>
      <c r="H43" s="221">
        <f t="shared" si="4"/>
        <v>120.59366799204771</v>
      </c>
      <c r="I43" s="153"/>
      <c r="J43" s="153"/>
      <c r="K43" s="153"/>
      <c r="L43" s="153"/>
      <c r="M43" s="153"/>
      <c r="N43" s="153"/>
    </row>
    <row r="44" spans="1:14" x14ac:dyDescent="0.2">
      <c r="A44" s="78" t="s">
        <v>66</v>
      </c>
      <c r="B44" s="79" t="s">
        <v>67</v>
      </c>
      <c r="C44" s="147"/>
      <c r="D44" s="80"/>
      <c r="E44" s="80"/>
      <c r="F44" s="77"/>
      <c r="G44" s="158"/>
      <c r="H44" s="158"/>
      <c r="I44" s="74"/>
      <c r="J44" s="74"/>
      <c r="K44" s="74"/>
      <c r="L44" s="74"/>
      <c r="M44" s="74"/>
      <c r="N44" s="74"/>
    </row>
    <row r="45" spans="1:14" x14ac:dyDescent="0.2">
      <c r="A45" s="78" t="s">
        <v>68</v>
      </c>
      <c r="B45" s="79" t="s">
        <v>69</v>
      </c>
      <c r="C45" s="147"/>
      <c r="D45" s="80"/>
      <c r="E45" s="80"/>
      <c r="F45" s="77"/>
      <c r="G45" s="158"/>
      <c r="H45" s="158"/>
      <c r="I45" s="74"/>
      <c r="J45" s="74"/>
      <c r="K45" s="74"/>
      <c r="L45" s="74"/>
      <c r="M45" s="74"/>
      <c r="N45" s="74"/>
    </row>
    <row r="46" spans="1:14" x14ac:dyDescent="0.2">
      <c r="A46" s="78" t="s">
        <v>70</v>
      </c>
      <c r="B46" s="79" t="s">
        <v>71</v>
      </c>
      <c r="C46" s="147"/>
      <c r="D46" s="80">
        <v>357073</v>
      </c>
      <c r="E46" s="80">
        <v>357073</v>
      </c>
      <c r="F46" s="77">
        <v>115806.48</v>
      </c>
      <c r="G46" s="158"/>
      <c r="H46" s="158"/>
      <c r="I46" s="74"/>
      <c r="J46" s="74"/>
      <c r="K46" s="74"/>
      <c r="L46" s="74"/>
      <c r="M46" s="74"/>
      <c r="N46" s="74"/>
    </row>
    <row r="47" spans="1:14" x14ac:dyDescent="0.2">
      <c r="A47" s="167" t="s">
        <v>30</v>
      </c>
      <c r="B47" s="168" t="s">
        <v>486</v>
      </c>
      <c r="C47" s="170"/>
      <c r="D47" s="170"/>
      <c r="E47" s="170"/>
      <c r="F47" s="169"/>
      <c r="G47" s="169"/>
      <c r="H47" s="169"/>
      <c r="I47" s="134"/>
      <c r="J47" s="134"/>
      <c r="K47" s="134"/>
      <c r="L47" s="151"/>
      <c r="M47" s="151"/>
      <c r="N47" s="151"/>
    </row>
    <row r="48" spans="1:14" x14ac:dyDescent="0.2">
      <c r="A48" s="78" t="s">
        <v>32</v>
      </c>
      <c r="B48" s="79" t="s">
        <v>486</v>
      </c>
      <c r="C48" s="147"/>
      <c r="D48" s="80"/>
      <c r="E48" s="80"/>
      <c r="F48" s="77"/>
      <c r="G48" s="158"/>
      <c r="H48" s="158"/>
      <c r="I48" s="74"/>
      <c r="J48" s="74"/>
      <c r="K48" s="74"/>
      <c r="L48" s="74"/>
      <c r="M48" s="74"/>
      <c r="N48" s="74"/>
    </row>
    <row r="49" spans="1:14" x14ac:dyDescent="0.2">
      <c r="A49" s="167" t="s">
        <v>337</v>
      </c>
      <c r="B49" s="168" t="s">
        <v>487</v>
      </c>
      <c r="C49" s="170"/>
      <c r="D49" s="170"/>
      <c r="E49" s="170"/>
      <c r="F49" s="169"/>
      <c r="G49" s="169"/>
      <c r="H49" s="169"/>
      <c r="I49" s="134"/>
      <c r="J49" s="134"/>
      <c r="K49" s="134"/>
      <c r="L49" s="151"/>
      <c r="M49" s="151"/>
      <c r="N49" s="151"/>
    </row>
    <row r="50" spans="1:14" x14ac:dyDescent="0.2">
      <c r="A50" s="78" t="s">
        <v>339</v>
      </c>
      <c r="B50" s="79" t="s">
        <v>487</v>
      </c>
      <c r="C50" s="147"/>
      <c r="D50" s="80"/>
      <c r="E50" s="80"/>
      <c r="F50" s="77"/>
      <c r="G50" s="158"/>
      <c r="H50" s="158"/>
      <c r="I50" s="74"/>
      <c r="J50" s="74"/>
      <c r="K50" s="74"/>
      <c r="L50" s="74"/>
      <c r="M50" s="74"/>
      <c r="N50" s="74"/>
    </row>
    <row r="51" spans="1:14" x14ac:dyDescent="0.2">
      <c r="A51" s="167" t="s">
        <v>77</v>
      </c>
      <c r="B51" s="168" t="s">
        <v>78</v>
      </c>
      <c r="C51" s="170"/>
      <c r="D51" s="170"/>
      <c r="E51" s="170"/>
      <c r="F51" s="169"/>
      <c r="G51" s="169"/>
      <c r="H51" s="169"/>
      <c r="I51" s="134"/>
      <c r="J51" s="134"/>
      <c r="K51" s="134"/>
      <c r="L51" s="151"/>
      <c r="M51" s="151"/>
      <c r="N51" s="151"/>
    </row>
    <row r="52" spans="1:14" x14ac:dyDescent="0.2">
      <c r="A52" s="78" t="s">
        <v>79</v>
      </c>
      <c r="B52" s="79" t="s">
        <v>78</v>
      </c>
      <c r="C52" s="158"/>
      <c r="D52" s="77"/>
      <c r="E52" s="80"/>
      <c r="F52" s="77"/>
      <c r="G52" s="158"/>
      <c r="H52" s="158"/>
      <c r="I52" s="74"/>
      <c r="J52" s="74"/>
      <c r="K52" s="74"/>
      <c r="L52" s="74"/>
      <c r="M52" s="74"/>
      <c r="N52" s="74"/>
    </row>
  </sheetData>
  <mergeCells count="4">
    <mergeCell ref="A2:J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E23" sqref="E23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09"/>
      <c r="M1" s="109"/>
      <c r="N1" s="109"/>
      <c r="O1" s="109"/>
    </row>
    <row r="2" spans="1:15" ht="15.75" hidden="1" customHeight="1" x14ac:dyDescent="0.2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109"/>
      <c r="M2" s="109"/>
      <c r="N2" s="109"/>
      <c r="O2" s="109"/>
    </row>
    <row r="3" spans="1:15" ht="18" hidden="1" customHeight="1" x14ac:dyDescent="0.2">
      <c r="A3" s="119"/>
      <c r="B3" s="119"/>
      <c r="C3" s="119"/>
      <c r="D3" s="119"/>
      <c r="E3" s="119"/>
      <c r="F3" s="119"/>
      <c r="G3" s="119"/>
      <c r="H3" s="119"/>
      <c r="I3" s="120"/>
      <c r="J3" s="120"/>
      <c r="K3" s="120"/>
      <c r="L3" s="109"/>
      <c r="M3" s="109"/>
      <c r="N3" s="109"/>
      <c r="O3" s="109"/>
    </row>
    <row r="4" spans="1:15" ht="18" x14ac:dyDescent="0.2">
      <c r="A4" s="119"/>
      <c r="B4" s="119"/>
      <c r="C4" s="119"/>
      <c r="D4" s="119"/>
      <c r="E4" s="119"/>
      <c r="F4" s="119"/>
      <c r="G4" s="119"/>
      <c r="H4" s="119"/>
      <c r="I4" s="120"/>
      <c r="J4" s="120"/>
      <c r="K4" s="120"/>
      <c r="L4" s="109"/>
      <c r="M4" s="109"/>
      <c r="N4" s="109"/>
      <c r="O4" s="109"/>
    </row>
    <row r="5" spans="1:15" ht="15.75" customHeight="1" x14ac:dyDescent="0.2">
      <c r="A5" s="271" t="s">
        <v>254</v>
      </c>
      <c r="B5" s="271"/>
      <c r="C5" s="271"/>
      <c r="D5" s="271"/>
      <c r="E5" s="271"/>
      <c r="F5" s="271"/>
      <c r="G5" s="271"/>
      <c r="H5" s="271"/>
      <c r="I5" s="37"/>
      <c r="J5" s="37"/>
      <c r="K5" s="37"/>
      <c r="L5" s="109"/>
      <c r="M5" s="109"/>
      <c r="N5" s="109"/>
      <c r="O5" s="109"/>
    </row>
    <row r="6" spans="1:15" ht="18" x14ac:dyDescent="0.2">
      <c r="A6" s="119"/>
      <c r="B6" s="119"/>
      <c r="C6" s="119"/>
      <c r="D6" s="119"/>
      <c r="E6" s="119"/>
      <c r="F6" s="119"/>
      <c r="G6" s="119"/>
      <c r="H6" s="119"/>
      <c r="I6" s="120"/>
      <c r="J6" s="120"/>
      <c r="K6" s="120"/>
      <c r="L6" s="109"/>
      <c r="M6" s="109"/>
      <c r="N6" s="109"/>
      <c r="O6" s="109"/>
    </row>
    <row r="7" spans="1:15" s="32" customFormat="1" ht="38.25" x14ac:dyDescent="0.25">
      <c r="A7" s="270" t="s">
        <v>3</v>
      </c>
      <c r="B7" s="270"/>
      <c r="C7" s="223" t="s">
        <v>556</v>
      </c>
      <c r="D7" s="224" t="s">
        <v>597</v>
      </c>
      <c r="E7" s="224" t="s">
        <v>598</v>
      </c>
      <c r="F7" s="223" t="s">
        <v>558</v>
      </c>
      <c r="G7" s="125" t="s">
        <v>260</v>
      </c>
      <c r="H7" s="125" t="s">
        <v>261</v>
      </c>
      <c r="I7" s="110"/>
      <c r="J7" s="110"/>
      <c r="K7" s="110"/>
      <c r="L7" s="110"/>
      <c r="M7" s="110"/>
      <c r="N7" s="110"/>
      <c r="O7" s="110"/>
    </row>
    <row r="8" spans="1:15" s="33" customFormat="1" x14ac:dyDescent="0.2">
      <c r="A8" s="269">
        <v>1</v>
      </c>
      <c r="B8" s="269"/>
      <c r="C8" s="126">
        <v>2</v>
      </c>
      <c r="D8" s="126">
        <v>3</v>
      </c>
      <c r="E8" s="126">
        <v>4.3333333333333304</v>
      </c>
      <c r="F8" s="126">
        <v>5.0833333333333304</v>
      </c>
      <c r="G8" s="126">
        <v>6</v>
      </c>
      <c r="H8" s="126">
        <v>7</v>
      </c>
      <c r="I8" s="113"/>
      <c r="J8" s="113"/>
      <c r="K8" s="113"/>
      <c r="L8" s="113"/>
      <c r="M8" s="111"/>
      <c r="N8" s="111"/>
      <c r="O8" s="111"/>
    </row>
    <row r="9" spans="1:15" ht="15" customHeight="1" x14ac:dyDescent="0.2">
      <c r="A9" s="115" t="s">
        <v>256</v>
      </c>
      <c r="B9" s="115" t="s">
        <v>26</v>
      </c>
      <c r="C9" s="118" t="s">
        <v>28</v>
      </c>
      <c r="D9" s="118" t="s">
        <v>28</v>
      </c>
      <c r="E9" s="118" t="s">
        <v>28</v>
      </c>
      <c r="F9" s="118" t="s">
        <v>28</v>
      </c>
      <c r="G9" s="118" t="s">
        <v>26</v>
      </c>
      <c r="H9" s="118" t="s">
        <v>26</v>
      </c>
      <c r="I9" s="114"/>
      <c r="J9" s="114"/>
      <c r="K9" s="114"/>
      <c r="L9" s="114"/>
      <c r="M9" s="112"/>
      <c r="N9" s="112"/>
      <c r="O9" s="112"/>
    </row>
    <row r="10" spans="1:15" x14ac:dyDescent="0.2">
      <c r="A10" s="195" t="s">
        <v>77</v>
      </c>
      <c r="B10" s="196" t="s">
        <v>258</v>
      </c>
      <c r="C10" s="174">
        <f>+C11+C14</f>
        <v>0</v>
      </c>
      <c r="D10" s="175">
        <f>+D11+D14</f>
        <v>0</v>
      </c>
      <c r="E10" s="175">
        <f>+E11+E14</f>
        <v>0</v>
      </c>
      <c r="F10" s="174">
        <f>+F11+F14</f>
        <v>0</v>
      </c>
      <c r="G10" s="197" t="e">
        <f t="shared" ref="G10" si="0">+F10/C10*100</f>
        <v>#DIV/0!</v>
      </c>
      <c r="H10" s="197" t="e">
        <f t="shared" ref="H10" si="1">+F10/E10*100</f>
        <v>#DIV/0!</v>
      </c>
      <c r="I10" s="134"/>
      <c r="J10" s="134"/>
      <c r="K10" s="134"/>
      <c r="L10" s="134"/>
      <c r="M10" s="151"/>
      <c r="N10" s="151"/>
      <c r="O10" s="151"/>
    </row>
    <row r="11" spans="1:15" x14ac:dyDescent="0.2">
      <c r="A11" s="189" t="s">
        <v>79</v>
      </c>
      <c r="B11" s="190" t="s">
        <v>497</v>
      </c>
      <c r="C11" s="193">
        <f>+C12</f>
        <v>0</v>
      </c>
      <c r="D11" s="201"/>
      <c r="E11" s="201"/>
      <c r="F11" s="193">
        <f>+F12</f>
        <v>0</v>
      </c>
      <c r="G11" s="193" t="e">
        <f t="shared" ref="G11:G36" si="2">+F11/C11*100</f>
        <v>#DIV/0!</v>
      </c>
      <c r="H11" s="193" t="e">
        <f t="shared" ref="H11:H36" si="3">+F11/E11*100</f>
        <v>#DIV/0!</v>
      </c>
      <c r="I11" s="140"/>
      <c r="J11" s="140"/>
      <c r="K11" s="140"/>
      <c r="L11" s="140"/>
      <c r="M11" s="153"/>
      <c r="N11" s="153"/>
      <c r="O11" s="153"/>
    </row>
    <row r="12" spans="1:15" x14ac:dyDescent="0.2">
      <c r="A12" s="188" t="s">
        <v>498</v>
      </c>
      <c r="B12" s="164" t="s">
        <v>499</v>
      </c>
      <c r="C12" s="191">
        <f>+C13</f>
        <v>0</v>
      </c>
      <c r="D12" s="192"/>
      <c r="E12" s="192"/>
      <c r="F12" s="191">
        <f t="shared" ref="F12" si="4">+F13</f>
        <v>0</v>
      </c>
      <c r="G12" s="162" t="e">
        <f t="shared" si="2"/>
        <v>#DIV/0!</v>
      </c>
      <c r="H12" s="162" t="e">
        <f t="shared" si="3"/>
        <v>#DIV/0!</v>
      </c>
      <c r="I12" s="140"/>
      <c r="J12" s="140"/>
      <c r="K12" s="140"/>
      <c r="L12" s="140"/>
      <c r="M12" s="153"/>
      <c r="N12" s="153"/>
      <c r="O12" s="153"/>
    </row>
    <row r="13" spans="1:15" ht="25.5" x14ac:dyDescent="0.2">
      <c r="A13" s="127" t="s">
        <v>500</v>
      </c>
      <c r="B13" s="124" t="s">
        <v>501</v>
      </c>
      <c r="C13" s="121"/>
      <c r="D13" s="192"/>
      <c r="E13" s="192"/>
      <c r="F13" s="158"/>
      <c r="G13" s="158" t="e">
        <f t="shared" si="2"/>
        <v>#DIV/0!</v>
      </c>
      <c r="H13" s="158" t="e">
        <f t="shared" si="3"/>
        <v>#DIV/0!</v>
      </c>
      <c r="I13" s="122"/>
      <c r="J13" s="122"/>
      <c r="K13" s="122"/>
      <c r="L13" s="122"/>
      <c r="M13" s="123"/>
      <c r="N13" s="123"/>
      <c r="O13" s="123"/>
    </row>
    <row r="14" spans="1:15" x14ac:dyDescent="0.2">
      <c r="A14" s="189" t="s">
        <v>502</v>
      </c>
      <c r="B14" s="190" t="s">
        <v>503</v>
      </c>
      <c r="C14" s="193">
        <f>+C15</f>
        <v>0</v>
      </c>
      <c r="D14" s="201"/>
      <c r="E14" s="201"/>
      <c r="F14" s="193">
        <f>+F15</f>
        <v>0</v>
      </c>
      <c r="G14" s="193" t="e">
        <f t="shared" si="2"/>
        <v>#DIV/0!</v>
      </c>
      <c r="H14" s="193" t="e">
        <f t="shared" si="3"/>
        <v>#DIV/0!</v>
      </c>
      <c r="I14" s="140"/>
      <c r="J14" s="140"/>
      <c r="K14" s="140"/>
      <c r="L14" s="140"/>
      <c r="M14" s="153"/>
      <c r="N14" s="153"/>
      <c r="O14" s="153"/>
    </row>
    <row r="15" spans="1:15" ht="25.5" x14ac:dyDescent="0.2">
      <c r="A15" s="188" t="s">
        <v>504</v>
      </c>
      <c r="B15" s="164" t="s">
        <v>505</v>
      </c>
      <c r="C15" s="191">
        <f>+C16</f>
        <v>0</v>
      </c>
      <c r="D15" s="192"/>
      <c r="E15" s="192"/>
      <c r="F15" s="191">
        <f t="shared" ref="F15" si="5">+F16</f>
        <v>0</v>
      </c>
      <c r="G15" s="162" t="e">
        <f t="shared" si="2"/>
        <v>#DIV/0!</v>
      </c>
      <c r="H15" s="162" t="e">
        <f t="shared" si="3"/>
        <v>#DIV/0!</v>
      </c>
      <c r="I15" s="140"/>
      <c r="J15" s="140"/>
      <c r="K15" s="140"/>
      <c r="L15" s="140"/>
      <c r="M15" s="153"/>
      <c r="N15" s="153"/>
      <c r="O15" s="153"/>
    </row>
    <row r="16" spans="1:15" ht="25.5" x14ac:dyDescent="0.2">
      <c r="A16" s="127" t="s">
        <v>506</v>
      </c>
      <c r="B16" s="124" t="s">
        <v>507</v>
      </c>
      <c r="C16" s="121"/>
      <c r="D16" s="192"/>
      <c r="E16" s="192"/>
      <c r="F16" s="158"/>
      <c r="G16" s="158" t="e">
        <f t="shared" si="2"/>
        <v>#DIV/0!</v>
      </c>
      <c r="H16" s="158" t="e">
        <f t="shared" si="3"/>
        <v>#DIV/0!</v>
      </c>
      <c r="I16" s="122"/>
      <c r="J16" s="122"/>
      <c r="K16" s="122"/>
      <c r="L16" s="122"/>
      <c r="M16" s="123"/>
      <c r="N16" s="123"/>
      <c r="O16" s="123"/>
    </row>
    <row r="17" spans="1:15" x14ac:dyDescent="0.2">
      <c r="A17" s="195" t="s">
        <v>62</v>
      </c>
      <c r="B17" s="196" t="s">
        <v>509</v>
      </c>
      <c r="C17" s="174">
        <f>+C18+C27+C32</f>
        <v>0</v>
      </c>
      <c r="D17" s="175">
        <f>+D18+D27+D32</f>
        <v>0</v>
      </c>
      <c r="E17" s="175">
        <f>+E18+E27+E32</f>
        <v>0</v>
      </c>
      <c r="F17" s="174">
        <f>+F18+F27+F32</f>
        <v>0</v>
      </c>
      <c r="G17" s="197" t="e">
        <f t="shared" si="2"/>
        <v>#DIV/0!</v>
      </c>
      <c r="H17" s="197" t="e">
        <f t="shared" si="3"/>
        <v>#DIV/0!</v>
      </c>
      <c r="I17" s="117"/>
      <c r="J17" s="117"/>
      <c r="K17" s="117"/>
      <c r="L17" s="117"/>
      <c r="M17" s="116"/>
      <c r="N17" s="116"/>
      <c r="O17" s="116"/>
    </row>
    <row r="18" spans="1:15" x14ac:dyDescent="0.2">
      <c r="A18" s="189" t="s">
        <v>64</v>
      </c>
      <c r="B18" s="190" t="s">
        <v>510</v>
      </c>
      <c r="C18" s="198">
        <f>+C19+C22+C24</f>
        <v>0</v>
      </c>
      <c r="D18" s="201"/>
      <c r="E18" s="201"/>
      <c r="F18" s="198">
        <f>+F19+F22+F24</f>
        <v>0</v>
      </c>
      <c r="G18" s="193" t="e">
        <f t="shared" si="2"/>
        <v>#DIV/0!</v>
      </c>
      <c r="H18" s="193" t="e">
        <f t="shared" si="3"/>
        <v>#DIV/0!</v>
      </c>
      <c r="I18" s="140"/>
      <c r="J18" s="140"/>
      <c r="K18" s="140"/>
      <c r="L18" s="140"/>
      <c r="M18" s="153"/>
      <c r="N18" s="153"/>
      <c r="O18" s="153"/>
    </row>
    <row r="19" spans="1:15" ht="25.5" x14ac:dyDescent="0.2">
      <c r="A19" s="188">
        <v>512</v>
      </c>
      <c r="B19" s="164" t="s">
        <v>541</v>
      </c>
      <c r="C19" s="191">
        <f>+C20+C21</f>
        <v>0</v>
      </c>
      <c r="D19" s="192"/>
      <c r="E19" s="192"/>
      <c r="F19" s="191">
        <f>+F20+F21</f>
        <v>0</v>
      </c>
      <c r="G19" s="191" t="e">
        <f t="shared" ref="G19:G26" si="6">+F19/C19*100</f>
        <v>#DIV/0!</v>
      </c>
      <c r="H19" s="191" t="e">
        <f t="shared" ref="H19:H26" si="7">+F19/E19*100</f>
        <v>#DIV/0!</v>
      </c>
      <c r="I19" s="140"/>
      <c r="J19" s="140"/>
      <c r="K19" s="140"/>
      <c r="L19" s="140"/>
      <c r="M19" s="153"/>
      <c r="N19" s="153"/>
      <c r="O19" s="153"/>
    </row>
    <row r="20" spans="1:15" ht="25.5" x14ac:dyDescent="0.2">
      <c r="A20" s="156">
        <v>5121</v>
      </c>
      <c r="B20" s="154" t="s">
        <v>542</v>
      </c>
      <c r="C20" s="157"/>
      <c r="D20" s="192"/>
      <c r="E20" s="192"/>
      <c r="F20" s="158"/>
      <c r="G20" s="158" t="e">
        <f t="shared" si="6"/>
        <v>#DIV/0!</v>
      </c>
      <c r="H20" s="158" t="e">
        <f t="shared" si="7"/>
        <v>#DIV/0!</v>
      </c>
      <c r="I20" s="140"/>
      <c r="J20" s="140"/>
      <c r="K20" s="140"/>
      <c r="L20" s="140"/>
      <c r="M20" s="153"/>
      <c r="N20" s="153"/>
      <c r="O20" s="153"/>
    </row>
    <row r="21" spans="1:15" ht="25.5" x14ac:dyDescent="0.2">
      <c r="A21" s="156">
        <v>5122</v>
      </c>
      <c r="B21" s="154" t="s">
        <v>543</v>
      </c>
      <c r="C21" s="157"/>
      <c r="D21" s="192"/>
      <c r="E21" s="192"/>
      <c r="F21" s="158"/>
      <c r="G21" s="158" t="e">
        <f t="shared" si="6"/>
        <v>#DIV/0!</v>
      </c>
      <c r="H21" s="158" t="e">
        <f t="shared" si="7"/>
        <v>#DIV/0!</v>
      </c>
      <c r="I21" s="140"/>
      <c r="J21" s="140"/>
      <c r="K21" s="140"/>
      <c r="L21" s="140"/>
      <c r="M21" s="153"/>
      <c r="N21" s="153"/>
      <c r="O21" s="153"/>
    </row>
    <row r="22" spans="1:15" x14ac:dyDescent="0.2">
      <c r="A22" s="188">
        <v>514</v>
      </c>
      <c r="B22" s="164" t="s">
        <v>544</v>
      </c>
      <c r="C22" s="191">
        <f>+C23</f>
        <v>0</v>
      </c>
      <c r="D22" s="192"/>
      <c r="E22" s="192"/>
      <c r="F22" s="191">
        <f t="shared" ref="F22" si="8">+F23</f>
        <v>0</v>
      </c>
      <c r="G22" s="191" t="e">
        <f t="shared" si="6"/>
        <v>#DIV/0!</v>
      </c>
      <c r="H22" s="191" t="e">
        <f t="shared" si="7"/>
        <v>#DIV/0!</v>
      </c>
      <c r="I22" s="140"/>
      <c r="J22" s="140"/>
      <c r="K22" s="140"/>
      <c r="L22" s="140"/>
      <c r="M22" s="153"/>
      <c r="N22" s="153"/>
      <c r="O22" s="153"/>
    </row>
    <row r="23" spans="1:15" x14ac:dyDescent="0.2">
      <c r="A23" s="156">
        <v>5141</v>
      </c>
      <c r="B23" s="154" t="s">
        <v>545</v>
      </c>
      <c r="C23" s="157"/>
      <c r="D23" s="192"/>
      <c r="E23" s="192"/>
      <c r="F23" s="158"/>
      <c r="G23" s="158" t="e">
        <f t="shared" si="6"/>
        <v>#DIV/0!</v>
      </c>
      <c r="H23" s="158" t="e">
        <f t="shared" si="7"/>
        <v>#DIV/0!</v>
      </c>
      <c r="I23" s="140"/>
      <c r="J23" s="140"/>
      <c r="K23" s="140"/>
      <c r="L23" s="140"/>
      <c r="M23" s="153"/>
      <c r="N23" s="153"/>
      <c r="O23" s="153"/>
    </row>
    <row r="24" spans="1:15" x14ac:dyDescent="0.2">
      <c r="A24" s="188">
        <v>518</v>
      </c>
      <c r="B24" s="164" t="s">
        <v>546</v>
      </c>
      <c r="C24" s="191">
        <f>+C25+C26</f>
        <v>0</v>
      </c>
      <c r="D24" s="192"/>
      <c r="E24" s="192"/>
      <c r="F24" s="191">
        <f>+F25+F26</f>
        <v>0</v>
      </c>
      <c r="G24" s="191" t="e">
        <f t="shared" si="6"/>
        <v>#DIV/0!</v>
      </c>
      <c r="H24" s="191" t="e">
        <f t="shared" si="7"/>
        <v>#DIV/0!</v>
      </c>
      <c r="I24" s="140"/>
      <c r="J24" s="140"/>
      <c r="K24" s="140"/>
      <c r="L24" s="140"/>
      <c r="M24" s="153"/>
      <c r="N24" s="153"/>
      <c r="O24" s="153"/>
    </row>
    <row r="25" spans="1:15" ht="25.5" x14ac:dyDescent="0.2">
      <c r="A25" s="156">
        <v>5181</v>
      </c>
      <c r="B25" s="154" t="s">
        <v>547</v>
      </c>
      <c r="C25" s="157"/>
      <c r="D25" s="192"/>
      <c r="E25" s="192"/>
      <c r="F25" s="158"/>
      <c r="G25" s="158" t="e">
        <f t="shared" si="6"/>
        <v>#DIV/0!</v>
      </c>
      <c r="H25" s="158" t="e">
        <f t="shared" si="7"/>
        <v>#DIV/0!</v>
      </c>
      <c r="I25" s="140"/>
      <c r="J25" s="140"/>
      <c r="K25" s="140"/>
      <c r="L25" s="140"/>
      <c r="M25" s="153"/>
      <c r="N25" s="153"/>
      <c r="O25" s="153"/>
    </row>
    <row r="26" spans="1:15" x14ac:dyDescent="0.2">
      <c r="A26" s="156">
        <v>5183</v>
      </c>
      <c r="B26" s="154" t="s">
        <v>548</v>
      </c>
      <c r="C26" s="157"/>
      <c r="D26" s="192"/>
      <c r="E26" s="192"/>
      <c r="F26" s="158"/>
      <c r="G26" s="158" t="e">
        <f t="shared" si="6"/>
        <v>#DIV/0!</v>
      </c>
      <c r="H26" s="158" t="e">
        <f t="shared" si="7"/>
        <v>#DIV/0!</v>
      </c>
      <c r="I26" s="140"/>
      <c r="J26" s="140"/>
      <c r="K26" s="140"/>
      <c r="L26" s="140"/>
      <c r="M26" s="153"/>
      <c r="N26" s="153"/>
      <c r="O26" s="153"/>
    </row>
    <row r="27" spans="1:15" x14ac:dyDescent="0.2">
      <c r="A27" s="189" t="s">
        <v>511</v>
      </c>
      <c r="B27" s="190" t="s">
        <v>512</v>
      </c>
      <c r="C27" s="198">
        <f>+C28+C30</f>
        <v>0</v>
      </c>
      <c r="D27" s="201"/>
      <c r="E27" s="201"/>
      <c r="F27" s="198">
        <f>+F28+F30</f>
        <v>0</v>
      </c>
      <c r="G27" s="193" t="e">
        <f t="shared" si="2"/>
        <v>#DIV/0!</v>
      </c>
      <c r="H27" s="193" t="e">
        <f t="shared" si="3"/>
        <v>#DIV/0!</v>
      </c>
      <c r="I27" s="140"/>
      <c r="J27" s="140"/>
      <c r="K27" s="140"/>
      <c r="L27" s="140"/>
      <c r="M27" s="153"/>
      <c r="N27" s="153"/>
      <c r="O27" s="153"/>
    </row>
    <row r="28" spans="1:15" ht="25.5" x14ac:dyDescent="0.2">
      <c r="A28" s="188" t="s">
        <v>513</v>
      </c>
      <c r="B28" s="164" t="s">
        <v>514</v>
      </c>
      <c r="C28" s="191">
        <f>+C29</f>
        <v>0</v>
      </c>
      <c r="D28" s="192"/>
      <c r="E28" s="192"/>
      <c r="F28" s="191">
        <f t="shared" ref="F28" si="9">+F29</f>
        <v>0</v>
      </c>
      <c r="G28" s="162" t="e">
        <f t="shared" si="2"/>
        <v>#DIV/0!</v>
      </c>
      <c r="H28" s="162" t="e">
        <f t="shared" si="3"/>
        <v>#DIV/0!</v>
      </c>
      <c r="I28" s="140"/>
      <c r="J28" s="140"/>
      <c r="K28" s="140"/>
      <c r="L28" s="140"/>
      <c r="M28" s="153"/>
      <c r="N28" s="153"/>
      <c r="O28" s="153"/>
    </row>
    <row r="29" spans="1:15" ht="25.5" x14ac:dyDescent="0.2">
      <c r="A29" s="127" t="s">
        <v>515</v>
      </c>
      <c r="B29" s="124" t="s">
        <v>514</v>
      </c>
      <c r="C29" s="128"/>
      <c r="D29" s="192"/>
      <c r="E29" s="192"/>
      <c r="F29" s="158"/>
      <c r="G29" s="158" t="e">
        <f t="shared" si="2"/>
        <v>#DIV/0!</v>
      </c>
      <c r="H29" s="158" t="e">
        <f t="shared" si="3"/>
        <v>#DIV/0!</v>
      </c>
      <c r="I29" s="122"/>
      <c r="J29" s="122"/>
      <c r="K29" s="122"/>
      <c r="L29" s="122"/>
      <c r="M29" s="123"/>
      <c r="N29" s="123"/>
      <c r="O29" s="123"/>
    </row>
    <row r="30" spans="1:15" ht="25.5" x14ac:dyDescent="0.2">
      <c r="A30" s="188" t="s">
        <v>516</v>
      </c>
      <c r="B30" s="164" t="s">
        <v>517</v>
      </c>
      <c r="C30" s="191">
        <f>+C31</f>
        <v>0</v>
      </c>
      <c r="D30" s="192"/>
      <c r="E30" s="192"/>
      <c r="F30" s="191">
        <f t="shared" ref="F30" si="10">+F31</f>
        <v>0</v>
      </c>
      <c r="G30" s="162" t="e">
        <f t="shared" si="2"/>
        <v>#DIV/0!</v>
      </c>
      <c r="H30" s="162" t="e">
        <f t="shared" si="3"/>
        <v>#DIV/0!</v>
      </c>
      <c r="I30" s="140"/>
      <c r="J30" s="140"/>
      <c r="K30" s="140"/>
      <c r="L30" s="140"/>
      <c r="M30" s="153"/>
      <c r="N30" s="153"/>
      <c r="O30" s="153"/>
    </row>
    <row r="31" spans="1:15" ht="25.5" x14ac:dyDescent="0.2">
      <c r="A31" s="127" t="s">
        <v>518</v>
      </c>
      <c r="B31" s="124" t="s">
        <v>519</v>
      </c>
      <c r="C31" s="121"/>
      <c r="D31" s="192"/>
      <c r="E31" s="192"/>
      <c r="F31" s="158"/>
      <c r="G31" s="158" t="e">
        <f t="shared" si="2"/>
        <v>#DIV/0!</v>
      </c>
      <c r="H31" s="158" t="e">
        <f t="shared" si="3"/>
        <v>#DIV/0!</v>
      </c>
      <c r="I31" s="122"/>
      <c r="J31" s="122"/>
      <c r="K31" s="122"/>
      <c r="L31" s="122"/>
      <c r="M31" s="123"/>
      <c r="N31" s="123"/>
      <c r="O31" s="123"/>
    </row>
    <row r="32" spans="1:15" x14ac:dyDescent="0.2">
      <c r="A32" s="189" t="s">
        <v>520</v>
      </c>
      <c r="B32" s="190" t="s">
        <v>521</v>
      </c>
      <c r="C32" s="193">
        <f>+C33+C35</f>
        <v>0</v>
      </c>
      <c r="D32" s="201"/>
      <c r="E32" s="201"/>
      <c r="F32" s="193">
        <f>+F33+F35</f>
        <v>0</v>
      </c>
      <c r="G32" s="193" t="e">
        <f>+F32/C32*100</f>
        <v>#DIV/0!</v>
      </c>
      <c r="H32" s="193" t="e">
        <f t="shared" si="3"/>
        <v>#DIV/0!</v>
      </c>
      <c r="I32" s="122"/>
      <c r="J32" s="122"/>
      <c r="K32" s="122"/>
      <c r="L32" s="122"/>
      <c r="M32" s="123"/>
      <c r="N32" s="123"/>
      <c r="O32" s="123"/>
    </row>
    <row r="33" spans="1:15" ht="25.5" x14ac:dyDescent="0.2">
      <c r="A33" s="188" t="s">
        <v>522</v>
      </c>
      <c r="B33" s="164" t="s">
        <v>523</v>
      </c>
      <c r="C33" s="191">
        <f>+C34</f>
        <v>0</v>
      </c>
      <c r="D33" s="192"/>
      <c r="E33" s="192"/>
      <c r="F33" s="191">
        <f t="shared" ref="F33" si="11">+F34</f>
        <v>0</v>
      </c>
      <c r="G33" s="162" t="e">
        <f t="shared" si="2"/>
        <v>#DIV/0!</v>
      </c>
      <c r="H33" s="162" t="e">
        <f t="shared" si="3"/>
        <v>#DIV/0!</v>
      </c>
      <c r="I33" s="122"/>
      <c r="J33" s="122"/>
      <c r="K33" s="122"/>
      <c r="L33" s="122"/>
      <c r="M33" s="123"/>
      <c r="N33" s="123"/>
      <c r="O33" s="123"/>
    </row>
    <row r="34" spans="1:15" ht="25.5" x14ac:dyDescent="0.2">
      <c r="A34" s="127" t="s">
        <v>524</v>
      </c>
      <c r="B34" s="124" t="s">
        <v>525</v>
      </c>
      <c r="C34" s="121"/>
      <c r="D34" s="192"/>
      <c r="E34" s="192"/>
      <c r="F34" s="158"/>
      <c r="G34" s="158" t="e">
        <f t="shared" si="2"/>
        <v>#DIV/0!</v>
      </c>
      <c r="H34" s="158" t="e">
        <f t="shared" si="3"/>
        <v>#DIV/0!</v>
      </c>
      <c r="I34" s="123"/>
      <c r="J34" s="123"/>
      <c r="K34" s="123"/>
      <c r="L34" s="123"/>
      <c r="M34" s="123"/>
      <c r="N34" s="123"/>
      <c r="O34" s="123"/>
    </row>
    <row r="35" spans="1:15" ht="25.5" x14ac:dyDescent="0.2">
      <c r="A35" s="188" t="s">
        <v>526</v>
      </c>
      <c r="B35" s="164" t="s">
        <v>527</v>
      </c>
      <c r="C35" s="191">
        <f>+C36</f>
        <v>0</v>
      </c>
      <c r="D35" s="192"/>
      <c r="E35" s="192"/>
      <c r="F35" s="191">
        <f t="shared" ref="F35" si="12">+F36</f>
        <v>0</v>
      </c>
      <c r="G35" s="191" t="e">
        <f t="shared" si="2"/>
        <v>#DIV/0!</v>
      </c>
      <c r="H35" s="191" t="e">
        <f t="shared" si="3"/>
        <v>#DIV/0!</v>
      </c>
      <c r="I35" s="123"/>
      <c r="J35" s="123"/>
      <c r="K35" s="123"/>
      <c r="L35" s="123"/>
      <c r="M35" s="123"/>
      <c r="N35" s="123"/>
      <c r="O35" s="123"/>
    </row>
    <row r="36" spans="1:15" ht="25.5" x14ac:dyDescent="0.2">
      <c r="A36" s="127" t="s">
        <v>528</v>
      </c>
      <c r="B36" s="124" t="s">
        <v>529</v>
      </c>
      <c r="C36" s="121"/>
      <c r="D36" s="192"/>
      <c r="E36" s="192"/>
      <c r="F36" s="158"/>
      <c r="G36" s="158" t="e">
        <f t="shared" si="2"/>
        <v>#DIV/0!</v>
      </c>
      <c r="H36" s="158" t="e">
        <f t="shared" si="3"/>
        <v>#DIV/0!</v>
      </c>
      <c r="I36" s="123"/>
      <c r="J36" s="123"/>
      <c r="K36" s="123"/>
      <c r="L36" s="123"/>
      <c r="M36" s="123"/>
      <c r="N36" s="123"/>
      <c r="O36" s="123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1"/>
      <c r="M1" s="81"/>
      <c r="N1" s="81"/>
      <c r="O1" s="81"/>
    </row>
    <row r="2" spans="1:15" ht="15.75" hidden="1" customHeight="1" x14ac:dyDescent="0.2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81"/>
      <c r="M2" s="81"/>
      <c r="N2" s="81"/>
      <c r="O2" s="81"/>
    </row>
    <row r="3" spans="1:15" ht="18" hidden="1" customHeight="1" x14ac:dyDescent="0.2">
      <c r="A3" s="87"/>
      <c r="B3" s="87"/>
      <c r="C3" s="87"/>
      <c r="D3" s="87"/>
      <c r="E3" s="87"/>
      <c r="F3" s="87"/>
      <c r="G3" s="87"/>
      <c r="H3" s="87"/>
      <c r="I3" s="88"/>
      <c r="J3" s="88"/>
      <c r="K3" s="88"/>
      <c r="L3" s="81"/>
      <c r="M3" s="81"/>
      <c r="N3" s="81"/>
      <c r="O3" s="81"/>
    </row>
    <row r="4" spans="1:15" ht="18" x14ac:dyDescent="0.2">
      <c r="A4" s="87"/>
      <c r="B4" s="87"/>
      <c r="C4" s="87"/>
      <c r="D4" s="87"/>
      <c r="E4" s="87"/>
      <c r="F4" s="87"/>
      <c r="G4" s="87"/>
      <c r="H4" s="87"/>
      <c r="I4" s="88"/>
      <c r="J4" s="88"/>
      <c r="K4" s="88"/>
      <c r="L4" s="81"/>
      <c r="M4" s="81"/>
      <c r="N4" s="81"/>
      <c r="O4" s="81"/>
    </row>
    <row r="5" spans="1:15" ht="15.75" customHeight="1" x14ac:dyDescent="0.2">
      <c r="A5" s="271" t="s">
        <v>488</v>
      </c>
      <c r="B5" s="271"/>
      <c r="C5" s="271"/>
      <c r="D5" s="271"/>
      <c r="E5" s="271"/>
      <c r="F5" s="271"/>
      <c r="G5" s="271"/>
      <c r="H5" s="271"/>
      <c r="I5" s="37"/>
      <c r="J5" s="37"/>
      <c r="K5" s="37"/>
      <c r="L5" s="81"/>
      <c r="M5" s="81"/>
      <c r="N5" s="81"/>
      <c r="O5" s="81"/>
    </row>
    <row r="6" spans="1:15" ht="18" x14ac:dyDescent="0.2">
      <c r="A6" s="87"/>
      <c r="B6" s="87"/>
      <c r="C6" s="87"/>
      <c r="D6" s="87"/>
      <c r="E6" s="87"/>
      <c r="F6" s="87"/>
      <c r="G6" s="87"/>
      <c r="H6" s="87"/>
      <c r="I6" s="88"/>
      <c r="J6" s="88"/>
      <c r="K6" s="88"/>
      <c r="L6" s="81"/>
      <c r="M6" s="81"/>
      <c r="N6" s="81"/>
      <c r="O6" s="81"/>
    </row>
    <row r="7" spans="1:15" s="32" customFormat="1" ht="38.25" x14ac:dyDescent="0.25">
      <c r="A7" s="270" t="s">
        <v>3</v>
      </c>
      <c r="B7" s="270"/>
      <c r="C7" s="223" t="s">
        <v>556</v>
      </c>
      <c r="D7" s="224" t="s">
        <v>597</v>
      </c>
      <c r="E7" s="224" t="s">
        <v>598</v>
      </c>
      <c r="F7" s="223" t="s">
        <v>558</v>
      </c>
      <c r="G7" s="97" t="s">
        <v>260</v>
      </c>
      <c r="H7" s="97" t="s">
        <v>261</v>
      </c>
      <c r="I7" s="82"/>
      <c r="J7" s="82"/>
      <c r="K7" s="82"/>
      <c r="L7" s="82"/>
      <c r="M7" s="82"/>
      <c r="N7" s="82"/>
      <c r="O7" s="82"/>
    </row>
    <row r="8" spans="1:15" s="33" customFormat="1" ht="12.75" customHeight="1" x14ac:dyDescent="0.2">
      <c r="A8" s="269">
        <v>1</v>
      </c>
      <c r="B8" s="269"/>
      <c r="C8" s="98">
        <v>2</v>
      </c>
      <c r="D8" s="98">
        <v>3</v>
      </c>
      <c r="E8" s="98">
        <v>4.3333333333333304</v>
      </c>
      <c r="F8" s="98">
        <v>5.0833333333333304</v>
      </c>
      <c r="G8" s="98">
        <v>6</v>
      </c>
      <c r="H8" s="98">
        <v>7</v>
      </c>
      <c r="I8" s="84"/>
      <c r="J8" s="84"/>
      <c r="K8" s="84"/>
      <c r="L8" s="84"/>
      <c r="M8" s="83"/>
      <c r="N8" s="83"/>
      <c r="O8" s="83"/>
    </row>
    <row r="9" spans="1:15" ht="15" customHeight="1" x14ac:dyDescent="0.2">
      <c r="A9" s="115" t="s">
        <v>549</v>
      </c>
      <c r="B9" s="115" t="s">
        <v>26</v>
      </c>
      <c r="C9" s="118" t="s">
        <v>28</v>
      </c>
      <c r="D9" s="118" t="s">
        <v>28</v>
      </c>
      <c r="E9" s="118" t="s">
        <v>28</v>
      </c>
      <c r="F9" s="118" t="s">
        <v>28</v>
      </c>
      <c r="G9" s="118" t="s">
        <v>26</v>
      </c>
      <c r="H9" s="118" t="s">
        <v>26</v>
      </c>
      <c r="I9" s="133"/>
      <c r="J9" s="133"/>
      <c r="K9" s="133"/>
      <c r="L9" s="133"/>
      <c r="M9" s="150"/>
      <c r="N9" s="150"/>
      <c r="O9" s="150"/>
    </row>
    <row r="10" spans="1:15" x14ac:dyDescent="0.2">
      <c r="A10" s="182"/>
      <c r="B10" s="187" t="s">
        <v>255</v>
      </c>
      <c r="C10" s="181">
        <f>+C11+C13</f>
        <v>5615657.4500000002</v>
      </c>
      <c r="D10" s="181">
        <f>+D11+D13</f>
        <v>11847989</v>
      </c>
      <c r="E10" s="181">
        <f>+E11+E13</f>
        <v>11847989</v>
      </c>
      <c r="F10" s="181">
        <f>+F11+F13</f>
        <v>5912300.5899999999</v>
      </c>
      <c r="G10" s="172">
        <f>+F10/C10*100</f>
        <v>105.28242939746974</v>
      </c>
      <c r="H10" s="172">
        <f>+F10/E10*100</f>
        <v>49.901300465420753</v>
      </c>
      <c r="I10" s="99"/>
      <c r="J10" s="99"/>
      <c r="K10" s="99"/>
      <c r="L10" s="99"/>
      <c r="M10" s="100"/>
      <c r="N10" s="100"/>
      <c r="O10" s="100"/>
    </row>
    <row r="11" spans="1:15" x14ac:dyDescent="0.2">
      <c r="A11" s="167" t="s">
        <v>489</v>
      </c>
      <c r="B11" s="168" t="s">
        <v>490</v>
      </c>
      <c r="C11" s="169"/>
      <c r="D11" s="170"/>
      <c r="E11" s="170"/>
      <c r="F11" s="169"/>
      <c r="G11" s="169"/>
      <c r="H11" s="169"/>
      <c r="I11" s="102"/>
      <c r="J11" s="102"/>
      <c r="K11" s="102"/>
      <c r="L11" s="102"/>
      <c r="M11" s="101"/>
      <c r="N11" s="101"/>
      <c r="O11" s="101"/>
    </row>
    <row r="12" spans="1:15" x14ac:dyDescent="0.2">
      <c r="A12" s="107" t="s">
        <v>491</v>
      </c>
      <c r="B12" s="108" t="s">
        <v>492</v>
      </c>
      <c r="C12" s="103"/>
      <c r="D12" s="104"/>
      <c r="E12" s="104"/>
      <c r="F12" s="103"/>
      <c r="G12" s="158"/>
      <c r="H12" s="158"/>
      <c r="I12" s="105"/>
      <c r="J12" s="105"/>
      <c r="K12" s="105"/>
      <c r="L12" s="105"/>
      <c r="M12" s="106"/>
      <c r="N12" s="106"/>
      <c r="O12" s="106"/>
    </row>
    <row r="13" spans="1:15" x14ac:dyDescent="0.2">
      <c r="A13" s="167" t="s">
        <v>493</v>
      </c>
      <c r="B13" s="168" t="s">
        <v>494</v>
      </c>
      <c r="C13" s="169">
        <f>+C14</f>
        <v>5615657.4500000002</v>
      </c>
      <c r="D13" s="170">
        <f t="shared" ref="D13" si="0">+D14</f>
        <v>11847989</v>
      </c>
      <c r="E13" s="170">
        <f t="shared" ref="E13" si="1">+E14</f>
        <v>11847989</v>
      </c>
      <c r="F13" s="169">
        <f t="shared" ref="F13" si="2">+F14</f>
        <v>5912300.5899999999</v>
      </c>
      <c r="G13" s="169">
        <f t="shared" ref="G13:G14" si="3">+F13/C13*100</f>
        <v>105.28242939746974</v>
      </c>
      <c r="H13" s="169">
        <f t="shared" ref="H13:H14" si="4">+F13/E13*100</f>
        <v>49.901300465420753</v>
      </c>
      <c r="I13" s="102"/>
      <c r="J13" s="102"/>
      <c r="K13" s="102"/>
      <c r="L13" s="102"/>
      <c r="M13" s="101"/>
      <c r="N13" s="101"/>
      <c r="O13" s="101"/>
    </row>
    <row r="14" spans="1:15" x14ac:dyDescent="0.2">
      <c r="A14" s="107" t="s">
        <v>495</v>
      </c>
      <c r="B14" s="142" t="s">
        <v>496</v>
      </c>
      <c r="C14" s="221">
        <v>5615657.4500000002</v>
      </c>
      <c r="D14" s="158">
        <v>11847989</v>
      </c>
      <c r="E14" s="158">
        <v>11847989</v>
      </c>
      <c r="F14" s="158">
        <v>5912300.5899999999</v>
      </c>
      <c r="G14" s="158">
        <f t="shared" si="3"/>
        <v>105.28242939746974</v>
      </c>
      <c r="H14" s="158">
        <f t="shared" si="4"/>
        <v>49.901300465420753</v>
      </c>
      <c r="I14" s="106"/>
      <c r="J14" s="106"/>
      <c r="K14" s="106"/>
      <c r="L14" s="106"/>
      <c r="M14" s="106"/>
      <c r="N14" s="106"/>
      <c r="O14" s="106"/>
    </row>
    <row r="15" spans="1:15" x14ac:dyDescent="0.2">
      <c r="A15" s="85"/>
      <c r="B15" s="89"/>
      <c r="C15" s="90"/>
      <c r="D15" s="91"/>
      <c r="E15" s="91"/>
      <c r="F15" s="90"/>
      <c r="G15" s="90"/>
      <c r="H15" s="90"/>
      <c r="I15" s="86"/>
      <c r="J15" s="86"/>
      <c r="K15" s="86"/>
      <c r="L15" s="86"/>
      <c r="M15" s="86"/>
      <c r="N15" s="86"/>
      <c r="O15" s="86"/>
    </row>
    <row r="16" spans="1:15" x14ac:dyDescent="0.2">
      <c r="A16" s="95"/>
      <c r="B16" s="96"/>
      <c r="C16" s="92"/>
      <c r="D16" s="93"/>
      <c r="E16" s="93"/>
      <c r="F16" s="92"/>
      <c r="G16" s="92"/>
      <c r="H16" s="92"/>
      <c r="I16" s="94"/>
      <c r="J16" s="94"/>
      <c r="K16" s="94"/>
      <c r="L16" s="94"/>
      <c r="M16" s="94"/>
      <c r="N16" s="94"/>
      <c r="O16" s="94"/>
    </row>
    <row r="17" spans="1:15" x14ac:dyDescent="0.2">
      <c r="A17" s="95"/>
      <c r="B17" s="96"/>
      <c r="C17" s="92"/>
      <c r="D17" s="93"/>
      <c r="E17" s="93"/>
      <c r="F17" s="92"/>
      <c r="G17" s="92"/>
      <c r="H17" s="92"/>
      <c r="I17" s="94"/>
      <c r="J17" s="94"/>
      <c r="K17" s="94"/>
      <c r="L17" s="94"/>
      <c r="M17" s="94"/>
      <c r="N17" s="94"/>
      <c r="O17" s="94"/>
    </row>
    <row r="18" spans="1:15" x14ac:dyDescent="0.2">
      <c r="A18" s="95"/>
      <c r="B18" s="96"/>
      <c r="C18" s="92"/>
      <c r="D18" s="93"/>
      <c r="E18" s="93"/>
      <c r="F18" s="92"/>
      <c r="G18" s="92"/>
      <c r="H18" s="92"/>
      <c r="I18" s="94"/>
      <c r="J18" s="94"/>
      <c r="K18" s="94"/>
      <c r="L18" s="94"/>
      <c r="M18" s="94"/>
      <c r="N18" s="94"/>
      <c r="O18" s="94"/>
    </row>
    <row r="19" spans="1:15" x14ac:dyDescent="0.2">
      <c r="A19" s="95"/>
      <c r="B19" s="96"/>
      <c r="C19" s="92"/>
      <c r="D19" s="93"/>
      <c r="E19" s="93"/>
      <c r="F19" s="92"/>
      <c r="G19" s="92"/>
      <c r="H19" s="92"/>
      <c r="I19" s="94"/>
      <c r="J19" s="94"/>
      <c r="K19" s="94"/>
      <c r="L19" s="94"/>
      <c r="M19" s="94"/>
      <c r="N19" s="94"/>
      <c r="O19" s="94"/>
    </row>
    <row r="20" spans="1:15" x14ac:dyDescent="0.2">
      <c r="A20" s="95"/>
      <c r="B20" s="96"/>
      <c r="C20" s="92"/>
      <c r="D20" s="93"/>
      <c r="E20" s="93"/>
      <c r="F20" s="92"/>
      <c r="G20" s="92"/>
      <c r="H20" s="92"/>
      <c r="I20" s="94"/>
      <c r="J20" s="94"/>
      <c r="K20" s="94"/>
      <c r="L20" s="94"/>
      <c r="M20" s="94"/>
      <c r="N20" s="94"/>
      <c r="O20" s="94"/>
    </row>
    <row r="21" spans="1:15" x14ac:dyDescent="0.2">
      <c r="A21" s="85"/>
      <c r="B21" s="89"/>
      <c r="C21" s="90"/>
      <c r="D21" s="91"/>
      <c r="E21" s="91"/>
      <c r="F21" s="90"/>
      <c r="G21" s="90"/>
      <c r="H21" s="90"/>
      <c r="I21" s="86"/>
      <c r="J21" s="86"/>
      <c r="K21" s="86"/>
      <c r="L21" s="86"/>
      <c r="M21" s="86"/>
      <c r="N21" s="86"/>
      <c r="O21" s="86"/>
    </row>
    <row r="22" spans="1:15" x14ac:dyDescent="0.2">
      <c r="A22" s="95"/>
      <c r="B22" s="96"/>
      <c r="C22" s="92"/>
      <c r="D22" s="93"/>
      <c r="E22" s="93"/>
      <c r="F22" s="92"/>
      <c r="G22" s="92"/>
      <c r="H22" s="92"/>
      <c r="I22" s="94"/>
      <c r="J22" s="94"/>
      <c r="K22" s="94"/>
      <c r="L22" s="94"/>
      <c r="M22" s="94"/>
      <c r="N22" s="94"/>
      <c r="O22" s="94"/>
    </row>
    <row r="23" spans="1:15" x14ac:dyDescent="0.2">
      <c r="A23" s="85"/>
      <c r="B23" s="89"/>
      <c r="C23" s="90"/>
      <c r="D23" s="91"/>
      <c r="E23" s="91"/>
      <c r="F23" s="90"/>
      <c r="G23" s="90"/>
      <c r="H23" s="90"/>
      <c r="I23" s="86"/>
      <c r="J23" s="86"/>
      <c r="K23" s="86"/>
      <c r="L23" s="86"/>
      <c r="M23" s="86"/>
      <c r="N23" s="86"/>
      <c r="O23" s="86"/>
    </row>
    <row r="24" spans="1:15" x14ac:dyDescent="0.2">
      <c r="A24" s="95"/>
      <c r="B24" s="96"/>
      <c r="C24" s="92"/>
      <c r="D24" s="93"/>
      <c r="E24" s="93"/>
      <c r="F24" s="92"/>
      <c r="G24" s="92"/>
      <c r="H24" s="92"/>
      <c r="I24" s="94"/>
      <c r="J24" s="94"/>
      <c r="K24" s="94"/>
      <c r="L24" s="94"/>
      <c r="M24" s="94"/>
      <c r="N24" s="94"/>
      <c r="O24" s="94"/>
    </row>
    <row r="25" spans="1:15" x14ac:dyDescent="0.2">
      <c r="A25" s="71"/>
      <c r="B25" s="71"/>
      <c r="C25" s="75"/>
      <c r="D25" s="76"/>
      <c r="E25" s="76"/>
      <c r="F25" s="75"/>
      <c r="G25" s="75"/>
      <c r="H25" s="75"/>
      <c r="I25" s="67"/>
      <c r="J25" s="67"/>
      <c r="K25" s="67"/>
      <c r="L25" s="67"/>
      <c r="M25" s="67"/>
      <c r="N25" s="67"/>
      <c r="O25" s="67"/>
    </row>
    <row r="26" spans="1:15" x14ac:dyDescent="0.2">
      <c r="A26" s="85"/>
      <c r="B26" s="89"/>
      <c r="C26" s="90"/>
      <c r="D26" s="91"/>
      <c r="E26" s="91"/>
      <c r="F26" s="90"/>
      <c r="G26" s="90"/>
      <c r="H26" s="90"/>
      <c r="I26" s="86"/>
      <c r="J26" s="86"/>
      <c r="K26" s="86"/>
      <c r="L26" s="86"/>
      <c r="M26" s="86"/>
      <c r="N26" s="86"/>
      <c r="O26" s="86"/>
    </row>
    <row r="27" spans="1:15" x14ac:dyDescent="0.2">
      <c r="A27" s="95"/>
      <c r="B27" s="96"/>
      <c r="C27" s="92"/>
      <c r="D27" s="93"/>
      <c r="E27" s="93"/>
      <c r="F27" s="92"/>
      <c r="G27" s="92"/>
      <c r="H27" s="92"/>
      <c r="I27" s="94"/>
      <c r="J27" s="94"/>
      <c r="K27" s="94"/>
      <c r="L27" s="94"/>
      <c r="M27" s="94"/>
      <c r="N27" s="94"/>
      <c r="O27" s="94"/>
    </row>
    <row r="28" spans="1:15" x14ac:dyDescent="0.2">
      <c r="A28" s="95"/>
      <c r="B28" s="96"/>
      <c r="C28" s="92"/>
      <c r="D28" s="93"/>
      <c r="E28" s="93"/>
      <c r="F28" s="92"/>
      <c r="G28" s="92"/>
      <c r="H28" s="92"/>
      <c r="I28" s="94"/>
      <c r="J28" s="94"/>
      <c r="K28" s="94"/>
      <c r="L28" s="94"/>
      <c r="M28" s="94"/>
      <c r="N28" s="94"/>
      <c r="O28" s="94"/>
    </row>
    <row r="29" spans="1:15" x14ac:dyDescent="0.2">
      <c r="A29" s="85"/>
      <c r="B29" s="89"/>
      <c r="C29" s="90"/>
      <c r="D29" s="91"/>
      <c r="E29" s="91"/>
      <c r="F29" s="90"/>
      <c r="G29" s="90"/>
      <c r="H29" s="90"/>
      <c r="I29" s="86"/>
      <c r="J29" s="86"/>
      <c r="K29" s="86"/>
      <c r="L29" s="86"/>
      <c r="M29" s="86"/>
      <c r="N29" s="86"/>
      <c r="O29" s="86"/>
    </row>
    <row r="30" spans="1:15" x14ac:dyDescent="0.2">
      <c r="A30" s="95"/>
      <c r="B30" s="96"/>
      <c r="C30" s="92"/>
      <c r="D30" s="93"/>
      <c r="E30" s="93"/>
      <c r="F30" s="92"/>
      <c r="G30" s="92"/>
      <c r="H30" s="92"/>
      <c r="I30" s="94"/>
      <c r="J30" s="94"/>
      <c r="K30" s="94"/>
      <c r="L30" s="94"/>
      <c r="M30" s="94"/>
      <c r="N30" s="94"/>
      <c r="O30" s="94"/>
    </row>
    <row r="31" spans="1:15" x14ac:dyDescent="0.2">
      <c r="A31" s="85"/>
      <c r="B31" s="89"/>
      <c r="C31" s="90"/>
      <c r="D31" s="91"/>
      <c r="E31" s="91"/>
      <c r="F31" s="90"/>
      <c r="G31" s="90"/>
      <c r="H31" s="90"/>
      <c r="I31" s="86"/>
      <c r="J31" s="86"/>
      <c r="K31" s="86"/>
      <c r="L31" s="86"/>
      <c r="M31" s="86"/>
      <c r="N31" s="86"/>
      <c r="O31" s="86"/>
    </row>
    <row r="32" spans="1:15" x14ac:dyDescent="0.2">
      <c r="A32" s="95"/>
      <c r="B32" s="96"/>
      <c r="C32" s="92"/>
      <c r="D32" s="93"/>
      <c r="E32" s="93"/>
      <c r="F32" s="92"/>
      <c r="G32" s="92"/>
      <c r="H32" s="92"/>
      <c r="I32" s="94"/>
      <c r="J32" s="94"/>
      <c r="K32" s="94"/>
      <c r="L32" s="94"/>
      <c r="M32" s="94"/>
      <c r="N32" s="94"/>
      <c r="O32" s="94"/>
    </row>
    <row r="33" spans="1:15" x14ac:dyDescent="0.2">
      <c r="A33" s="85"/>
      <c r="B33" s="89"/>
      <c r="C33" s="90"/>
      <c r="D33" s="91"/>
      <c r="E33" s="91"/>
      <c r="F33" s="90"/>
      <c r="G33" s="90"/>
      <c r="H33" s="90"/>
      <c r="I33" s="86"/>
      <c r="J33" s="86"/>
      <c r="K33" s="86"/>
      <c r="L33" s="86"/>
      <c r="M33" s="86"/>
      <c r="N33" s="86"/>
      <c r="O33" s="86"/>
    </row>
    <row r="34" spans="1:15" x14ac:dyDescent="0.2">
      <c r="A34" s="95"/>
      <c r="B34" s="96"/>
      <c r="C34" s="92"/>
      <c r="D34" s="93"/>
      <c r="E34" s="93"/>
      <c r="F34" s="92"/>
      <c r="G34" s="92"/>
      <c r="H34" s="92"/>
      <c r="I34" s="94"/>
      <c r="J34" s="94"/>
      <c r="K34" s="94"/>
      <c r="L34" s="94"/>
      <c r="M34" s="94"/>
      <c r="N34" s="94"/>
      <c r="O34" s="94"/>
    </row>
    <row r="35" spans="1:15" x14ac:dyDescent="0.2">
      <c r="A35" s="95"/>
      <c r="B35" s="96"/>
      <c r="C35" s="92"/>
      <c r="D35" s="93"/>
      <c r="E35" s="93"/>
      <c r="F35" s="92"/>
      <c r="G35" s="92"/>
      <c r="H35" s="92"/>
      <c r="I35" s="94"/>
      <c r="J35" s="94"/>
      <c r="K35" s="94"/>
      <c r="L35" s="94"/>
      <c r="M35" s="94"/>
      <c r="N35" s="94"/>
      <c r="O35" s="94"/>
    </row>
    <row r="36" spans="1:15" x14ac:dyDescent="0.2">
      <c r="A36" s="95"/>
      <c r="B36" s="96"/>
      <c r="C36" s="92"/>
      <c r="D36" s="93"/>
      <c r="E36" s="93"/>
      <c r="F36" s="92"/>
      <c r="G36" s="92"/>
      <c r="H36" s="92"/>
      <c r="I36" s="94"/>
      <c r="J36" s="94"/>
      <c r="K36" s="94"/>
      <c r="L36" s="94"/>
      <c r="M36" s="94"/>
      <c r="N36" s="94"/>
      <c r="O36" s="94"/>
    </row>
    <row r="37" spans="1:15" x14ac:dyDescent="0.2">
      <c r="A37" s="95"/>
      <c r="B37" s="96"/>
      <c r="C37" s="92"/>
      <c r="D37" s="93"/>
      <c r="E37" s="93"/>
      <c r="F37" s="92"/>
      <c r="G37" s="92"/>
      <c r="H37" s="92"/>
      <c r="I37" s="94"/>
      <c r="J37" s="94"/>
      <c r="K37" s="94"/>
      <c r="L37" s="94"/>
      <c r="M37" s="94"/>
      <c r="N37" s="94"/>
      <c r="O37" s="94"/>
    </row>
    <row r="38" spans="1:15" x14ac:dyDescent="0.2">
      <c r="A38" s="95"/>
      <c r="B38" s="96"/>
      <c r="C38" s="92"/>
      <c r="D38" s="93"/>
      <c r="E38" s="93"/>
      <c r="F38" s="92"/>
      <c r="G38" s="92"/>
      <c r="H38" s="92"/>
      <c r="I38" s="94"/>
      <c r="J38" s="94"/>
      <c r="K38" s="94"/>
      <c r="L38" s="94"/>
      <c r="M38" s="94"/>
      <c r="N38" s="94"/>
      <c r="O38" s="94"/>
    </row>
    <row r="39" spans="1:15" x14ac:dyDescent="0.2">
      <c r="A39" s="85"/>
      <c r="B39" s="89"/>
      <c r="C39" s="90"/>
      <c r="D39" s="91"/>
      <c r="E39" s="91"/>
      <c r="F39" s="90"/>
      <c r="G39" s="90"/>
      <c r="H39" s="90"/>
      <c r="I39" s="86"/>
      <c r="J39" s="86"/>
      <c r="K39" s="86"/>
      <c r="L39" s="86"/>
      <c r="M39" s="86"/>
      <c r="N39" s="86"/>
      <c r="O39" s="86"/>
    </row>
    <row r="40" spans="1:15" x14ac:dyDescent="0.2">
      <c r="A40" s="95"/>
      <c r="B40" s="96"/>
      <c r="C40" s="92"/>
      <c r="D40" s="93"/>
      <c r="E40" s="93"/>
      <c r="F40" s="92"/>
      <c r="G40" s="92"/>
      <c r="H40" s="92"/>
      <c r="I40" s="94"/>
      <c r="J40" s="94"/>
      <c r="K40" s="94"/>
      <c r="L40" s="94"/>
      <c r="M40" s="94"/>
      <c r="N40" s="94"/>
      <c r="O40" s="94"/>
    </row>
    <row r="41" spans="1:15" x14ac:dyDescent="0.2">
      <c r="A41" s="85"/>
      <c r="B41" s="89"/>
      <c r="C41" s="90"/>
      <c r="D41" s="91"/>
      <c r="E41" s="91"/>
      <c r="F41" s="90"/>
      <c r="G41" s="90"/>
      <c r="H41" s="90"/>
      <c r="I41" s="86"/>
      <c r="J41" s="86"/>
      <c r="K41" s="86"/>
      <c r="L41" s="86"/>
      <c r="M41" s="86"/>
      <c r="N41" s="86"/>
      <c r="O41" s="86"/>
    </row>
    <row r="42" spans="1:15" x14ac:dyDescent="0.2">
      <c r="A42" s="95"/>
      <c r="B42" s="96"/>
      <c r="C42" s="92"/>
      <c r="D42" s="93"/>
      <c r="E42" s="93"/>
      <c r="F42" s="92"/>
      <c r="G42" s="92"/>
      <c r="H42" s="92"/>
      <c r="I42" s="94"/>
      <c r="J42" s="94"/>
      <c r="K42" s="94"/>
      <c r="L42" s="94"/>
      <c r="M42" s="94"/>
      <c r="N42" s="94"/>
      <c r="O42" s="94"/>
    </row>
    <row r="43" spans="1:15" x14ac:dyDescent="0.2">
      <c r="A43" s="85"/>
      <c r="B43" s="89"/>
      <c r="C43" s="90"/>
      <c r="D43" s="90"/>
      <c r="E43" s="91"/>
      <c r="F43" s="90"/>
      <c r="G43" s="90"/>
      <c r="H43" s="90"/>
      <c r="I43" s="86"/>
      <c r="J43" s="86"/>
      <c r="K43" s="86"/>
      <c r="L43" s="86"/>
      <c r="M43" s="86"/>
      <c r="N43" s="86"/>
      <c r="O43" s="86"/>
    </row>
    <row r="44" spans="1:15" x14ac:dyDescent="0.2">
      <c r="A44" s="95"/>
      <c r="B44" s="96"/>
      <c r="C44" s="92"/>
      <c r="D44" s="92"/>
      <c r="E44" s="93"/>
      <c r="F44" s="92"/>
      <c r="G44" s="92"/>
      <c r="H44" s="92"/>
      <c r="I44" s="94"/>
      <c r="J44" s="94"/>
      <c r="K44" s="94"/>
      <c r="L44" s="94"/>
      <c r="M44" s="94"/>
      <c r="N44" s="94"/>
      <c r="O44" s="94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E14" sqref="E14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29"/>
      <c r="M1" s="129"/>
      <c r="N1" s="129"/>
      <c r="O1" s="129"/>
    </row>
    <row r="2" spans="1:15" ht="15.75" hidden="1" customHeight="1" x14ac:dyDescent="0.2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129"/>
      <c r="M2" s="129"/>
      <c r="N2" s="129"/>
      <c r="O2" s="129"/>
    </row>
    <row r="3" spans="1:15" ht="18" hidden="1" customHeight="1" x14ac:dyDescent="0.2">
      <c r="A3" s="136"/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29"/>
      <c r="M3" s="129"/>
      <c r="N3" s="129"/>
      <c r="O3" s="129"/>
    </row>
    <row r="4" spans="1:15" ht="18" x14ac:dyDescent="0.2">
      <c r="A4" s="136"/>
      <c r="B4" s="136"/>
      <c r="C4" s="136"/>
      <c r="D4" s="136"/>
      <c r="E4" s="136"/>
      <c r="F4" s="136"/>
      <c r="G4" s="136"/>
      <c r="H4" s="136"/>
      <c r="I4" s="137"/>
      <c r="J4" s="137"/>
      <c r="K4" s="137"/>
      <c r="L4" s="129"/>
      <c r="M4" s="129"/>
      <c r="N4" s="129"/>
      <c r="O4" s="129"/>
    </row>
    <row r="5" spans="1:15" ht="15.75" customHeight="1" x14ac:dyDescent="0.2">
      <c r="A5" s="271" t="s">
        <v>259</v>
      </c>
      <c r="B5" s="271"/>
      <c r="C5" s="271"/>
      <c r="D5" s="271"/>
      <c r="E5" s="271"/>
      <c r="F5" s="271"/>
      <c r="G5" s="271"/>
      <c r="H5" s="271"/>
      <c r="I5" s="37"/>
      <c r="J5" s="37"/>
      <c r="K5" s="37"/>
      <c r="L5" s="129"/>
      <c r="M5" s="129"/>
      <c r="N5" s="129"/>
      <c r="O5" s="129"/>
    </row>
    <row r="6" spans="1:15" ht="18" x14ac:dyDescent="0.2">
      <c r="A6" s="136"/>
      <c r="B6" s="136"/>
      <c r="C6" s="136"/>
      <c r="D6" s="136"/>
      <c r="E6" s="136"/>
      <c r="F6" s="136"/>
      <c r="G6" s="136"/>
      <c r="H6" s="136"/>
      <c r="I6" s="137"/>
      <c r="J6" s="137"/>
      <c r="K6" s="137"/>
      <c r="L6" s="129"/>
      <c r="M6" s="129"/>
      <c r="N6" s="129"/>
      <c r="O6" s="129"/>
    </row>
    <row r="7" spans="1:15" s="32" customFormat="1" ht="38.25" x14ac:dyDescent="0.25">
      <c r="A7" s="270" t="s">
        <v>3</v>
      </c>
      <c r="B7" s="270"/>
      <c r="C7" s="223" t="s">
        <v>556</v>
      </c>
      <c r="D7" s="224" t="s">
        <v>597</v>
      </c>
      <c r="E7" s="224" t="s">
        <v>598</v>
      </c>
      <c r="F7" s="223" t="s">
        <v>558</v>
      </c>
      <c r="G7" s="143" t="s">
        <v>260</v>
      </c>
      <c r="H7" s="143" t="s">
        <v>261</v>
      </c>
      <c r="I7" s="130"/>
      <c r="J7" s="130"/>
      <c r="K7" s="130"/>
      <c r="L7" s="130"/>
      <c r="M7" s="130"/>
      <c r="N7" s="130"/>
      <c r="O7" s="130"/>
    </row>
    <row r="8" spans="1:15" s="33" customFormat="1" x14ac:dyDescent="0.2">
      <c r="A8" s="269">
        <v>1</v>
      </c>
      <c r="B8" s="269"/>
      <c r="C8" s="144">
        <v>2</v>
      </c>
      <c r="D8" s="144">
        <v>3</v>
      </c>
      <c r="E8" s="144">
        <v>4.3333333333333304</v>
      </c>
      <c r="F8" s="144">
        <v>5.0833333333333304</v>
      </c>
      <c r="G8" s="144">
        <v>6</v>
      </c>
      <c r="H8" s="144">
        <v>7</v>
      </c>
      <c r="I8" s="132"/>
      <c r="J8" s="132"/>
      <c r="K8" s="132"/>
      <c r="L8" s="132"/>
      <c r="M8" s="131"/>
      <c r="N8" s="131"/>
      <c r="O8" s="131"/>
    </row>
    <row r="9" spans="1:15" ht="12.75" customHeight="1" x14ac:dyDescent="0.2">
      <c r="A9" s="145" t="s">
        <v>256</v>
      </c>
      <c r="B9" s="145" t="s">
        <v>26</v>
      </c>
      <c r="C9" s="146" t="s">
        <v>28</v>
      </c>
      <c r="D9" s="146" t="s">
        <v>28</v>
      </c>
      <c r="E9" s="146" t="s">
        <v>28</v>
      </c>
      <c r="F9" s="146" t="s">
        <v>28</v>
      </c>
      <c r="G9" s="146" t="s">
        <v>26</v>
      </c>
      <c r="H9" s="146" t="s">
        <v>26</v>
      </c>
      <c r="I9" s="140"/>
      <c r="J9" s="140"/>
      <c r="K9" s="140"/>
      <c r="L9" s="140"/>
      <c r="M9" s="141"/>
      <c r="N9" s="141"/>
      <c r="O9" s="141"/>
    </row>
    <row r="10" spans="1:15" x14ac:dyDescent="0.2">
      <c r="A10" s="189" t="s">
        <v>257</v>
      </c>
      <c r="B10" s="190" t="s">
        <v>26</v>
      </c>
      <c r="C10" s="193">
        <f t="shared" ref="C10:F11" si="0">+C11</f>
        <v>0</v>
      </c>
      <c r="D10" s="194">
        <f t="shared" si="0"/>
        <v>0</v>
      </c>
      <c r="E10" s="194">
        <f t="shared" si="0"/>
        <v>0</v>
      </c>
      <c r="F10" s="193">
        <f t="shared" si="0"/>
        <v>0</v>
      </c>
      <c r="G10" s="193" t="e">
        <f t="shared" ref="G10:G19" si="1">+F10/C10*100</f>
        <v>#DIV/0!</v>
      </c>
      <c r="H10" s="193" t="e">
        <f t="shared" ref="H10:H19" si="2">+F10/E10*100</f>
        <v>#DIV/0!</v>
      </c>
      <c r="I10" s="140"/>
      <c r="J10" s="140"/>
      <c r="K10" s="140"/>
      <c r="L10" s="140"/>
      <c r="M10" s="153"/>
      <c r="N10" s="153"/>
      <c r="O10" s="153"/>
    </row>
    <row r="11" spans="1:15" x14ac:dyDescent="0.2">
      <c r="A11" s="188" t="s">
        <v>57</v>
      </c>
      <c r="B11" s="164" t="s">
        <v>58</v>
      </c>
      <c r="C11" s="191">
        <f t="shared" si="0"/>
        <v>0</v>
      </c>
      <c r="D11" s="192">
        <f t="shared" si="0"/>
        <v>0</v>
      </c>
      <c r="E11" s="192">
        <f t="shared" si="0"/>
        <v>0</v>
      </c>
      <c r="F11" s="191">
        <f t="shared" si="0"/>
        <v>0</v>
      </c>
      <c r="G11" s="191" t="e">
        <f t="shared" si="1"/>
        <v>#DIV/0!</v>
      </c>
      <c r="H11" s="191" t="e">
        <f t="shared" si="2"/>
        <v>#DIV/0!</v>
      </c>
      <c r="I11" s="140"/>
      <c r="J11" s="140"/>
      <c r="K11" s="140"/>
      <c r="L11" s="140"/>
      <c r="M11" s="153"/>
      <c r="N11" s="153"/>
      <c r="O11" s="153"/>
    </row>
    <row r="12" spans="1:15" x14ac:dyDescent="0.2">
      <c r="A12" s="156" t="s">
        <v>60</v>
      </c>
      <c r="B12" s="142" t="s">
        <v>61</v>
      </c>
      <c r="C12" s="138"/>
      <c r="D12" s="139"/>
      <c r="E12" s="139"/>
      <c r="F12" s="138"/>
      <c r="G12" s="158" t="e">
        <f t="shared" si="1"/>
        <v>#DIV/0!</v>
      </c>
      <c r="H12" s="158" t="e">
        <f t="shared" si="2"/>
        <v>#DIV/0!</v>
      </c>
      <c r="I12" s="140"/>
      <c r="J12" s="140"/>
      <c r="K12" s="140"/>
      <c r="L12" s="140"/>
      <c r="M12" s="141"/>
      <c r="N12" s="141"/>
      <c r="O12" s="141"/>
    </row>
    <row r="13" spans="1:15" x14ac:dyDescent="0.2">
      <c r="A13" s="189" t="s">
        <v>508</v>
      </c>
      <c r="B13" s="190" t="s">
        <v>26</v>
      </c>
      <c r="C13" s="193">
        <f>+C14+C16+C18</f>
        <v>0</v>
      </c>
      <c r="D13" s="194">
        <f>+D14+D16+D18</f>
        <v>0</v>
      </c>
      <c r="E13" s="194">
        <f>+E14+E16+E18</f>
        <v>0</v>
      </c>
      <c r="F13" s="193">
        <f>+F14+F16+F18</f>
        <v>0</v>
      </c>
      <c r="G13" s="193" t="e">
        <f t="shared" si="1"/>
        <v>#DIV/0!</v>
      </c>
      <c r="H13" s="193" t="e">
        <f t="shared" si="2"/>
        <v>#DIV/0!</v>
      </c>
      <c r="I13" s="140"/>
      <c r="J13" s="140"/>
      <c r="K13" s="140"/>
      <c r="L13" s="140"/>
      <c r="M13" s="153"/>
      <c r="N13" s="153"/>
      <c r="O13" s="153"/>
    </row>
    <row r="14" spans="1:15" x14ac:dyDescent="0.2">
      <c r="A14" s="188" t="s">
        <v>81</v>
      </c>
      <c r="B14" s="164" t="s">
        <v>485</v>
      </c>
      <c r="C14" s="191">
        <f>+C15</f>
        <v>0</v>
      </c>
      <c r="D14" s="192">
        <f>+D15</f>
        <v>0</v>
      </c>
      <c r="E14" s="192">
        <f>+E15</f>
        <v>0</v>
      </c>
      <c r="F14" s="191">
        <f>+F15</f>
        <v>0</v>
      </c>
      <c r="G14" s="191" t="e">
        <f t="shared" si="1"/>
        <v>#DIV/0!</v>
      </c>
      <c r="H14" s="191" t="e">
        <f t="shared" si="2"/>
        <v>#DIV/0!</v>
      </c>
      <c r="I14" s="140"/>
      <c r="J14" s="140"/>
      <c r="K14" s="140"/>
      <c r="L14" s="140"/>
      <c r="M14" s="153"/>
      <c r="N14" s="153"/>
      <c r="O14" s="153"/>
    </row>
    <row r="15" spans="1:15" x14ac:dyDescent="0.2">
      <c r="A15" s="156" t="s">
        <v>83</v>
      </c>
      <c r="B15" s="142" t="s">
        <v>485</v>
      </c>
      <c r="C15" s="138"/>
      <c r="D15" s="139"/>
      <c r="E15" s="139"/>
      <c r="F15" s="138"/>
      <c r="G15" s="158" t="e">
        <f t="shared" si="1"/>
        <v>#DIV/0!</v>
      </c>
      <c r="H15" s="158" t="e">
        <f t="shared" si="2"/>
        <v>#DIV/0!</v>
      </c>
      <c r="I15" s="141"/>
      <c r="J15" s="141"/>
      <c r="K15" s="141"/>
      <c r="L15" s="141"/>
      <c r="M15" s="141"/>
      <c r="N15" s="141"/>
      <c r="O15" s="141"/>
    </row>
    <row r="16" spans="1:15" x14ac:dyDescent="0.2">
      <c r="A16" s="188" t="s">
        <v>57</v>
      </c>
      <c r="B16" s="164" t="s">
        <v>58</v>
      </c>
      <c r="C16" s="191">
        <f>+C17</f>
        <v>0</v>
      </c>
      <c r="D16" s="192">
        <f>+D17</f>
        <v>0</v>
      </c>
      <c r="E16" s="192">
        <f>+E17</f>
        <v>0</v>
      </c>
      <c r="F16" s="191">
        <f>+F17</f>
        <v>0</v>
      </c>
      <c r="G16" s="191" t="e">
        <f t="shared" si="1"/>
        <v>#DIV/0!</v>
      </c>
      <c r="H16" s="191" t="e">
        <f t="shared" si="2"/>
        <v>#DIV/0!</v>
      </c>
      <c r="I16" s="140"/>
      <c r="J16" s="140"/>
      <c r="K16" s="140"/>
      <c r="L16" s="140"/>
      <c r="M16" s="153"/>
      <c r="N16" s="153"/>
      <c r="O16" s="153"/>
    </row>
    <row r="17" spans="1:15" x14ac:dyDescent="0.2">
      <c r="A17" s="156" t="s">
        <v>60</v>
      </c>
      <c r="B17" s="142" t="s">
        <v>61</v>
      </c>
      <c r="C17" s="138"/>
      <c r="D17" s="139"/>
      <c r="E17" s="139"/>
      <c r="F17" s="138"/>
      <c r="G17" s="158" t="e">
        <f t="shared" si="1"/>
        <v>#DIV/0!</v>
      </c>
      <c r="H17" s="158" t="e">
        <f t="shared" si="2"/>
        <v>#DIV/0!</v>
      </c>
      <c r="I17" s="141"/>
      <c r="J17" s="141"/>
      <c r="K17" s="141"/>
      <c r="L17" s="141"/>
      <c r="M17" s="141"/>
      <c r="N17" s="141"/>
      <c r="O17" s="141"/>
    </row>
    <row r="18" spans="1:15" x14ac:dyDescent="0.2">
      <c r="A18" s="188" t="s">
        <v>62</v>
      </c>
      <c r="B18" s="164" t="s">
        <v>63</v>
      </c>
      <c r="C18" s="191">
        <f>+C19</f>
        <v>0</v>
      </c>
      <c r="D18" s="192">
        <f>+D19</f>
        <v>0</v>
      </c>
      <c r="E18" s="192">
        <f>+E19</f>
        <v>0</v>
      </c>
      <c r="F18" s="191">
        <f>+F19</f>
        <v>0</v>
      </c>
      <c r="G18" s="191" t="e">
        <f t="shared" si="1"/>
        <v>#DIV/0!</v>
      </c>
      <c r="H18" s="191" t="e">
        <f t="shared" si="2"/>
        <v>#DIV/0!</v>
      </c>
      <c r="I18" s="140"/>
      <c r="J18" s="140"/>
      <c r="K18" s="140"/>
      <c r="L18" s="140"/>
      <c r="M18" s="153"/>
      <c r="N18" s="153"/>
      <c r="O18" s="153"/>
    </row>
    <row r="19" spans="1:15" x14ac:dyDescent="0.2">
      <c r="A19" s="156" t="s">
        <v>75</v>
      </c>
      <c r="B19" s="142" t="s">
        <v>76</v>
      </c>
      <c r="C19" s="138"/>
      <c r="D19" s="139"/>
      <c r="E19" s="139"/>
      <c r="F19" s="138"/>
      <c r="G19" s="158" t="e">
        <f t="shared" si="1"/>
        <v>#DIV/0!</v>
      </c>
      <c r="H19" s="158" t="e">
        <f t="shared" si="2"/>
        <v>#DIV/0!</v>
      </c>
      <c r="I19" s="141"/>
      <c r="J19" s="141"/>
      <c r="K19" s="141"/>
      <c r="L19" s="141"/>
      <c r="M19" s="141"/>
      <c r="N19" s="141"/>
      <c r="O19" s="141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A66E-B834-4993-BFC4-1555A09D890F}">
  <sheetPr>
    <pageSetUpPr fitToPage="1"/>
  </sheetPr>
  <dimension ref="A1:H473"/>
  <sheetViews>
    <sheetView zoomScaleNormal="100" workbookViewId="0">
      <selection activeCell="D252" sqref="D252"/>
    </sheetView>
  </sheetViews>
  <sheetFormatPr defaultColWidth="8.85546875" defaultRowHeight="12.75" x14ac:dyDescent="0.2"/>
  <cols>
    <col min="1" max="1" width="7.42578125" style="243" bestFit="1" customWidth="1"/>
    <col min="2" max="2" width="8.42578125" style="243" bestFit="1" customWidth="1"/>
    <col min="3" max="3" width="19.28515625" style="243" customWidth="1"/>
    <col min="4" max="4" width="37.42578125" style="243" customWidth="1"/>
    <col min="5" max="5" width="22.7109375" style="243" customWidth="1"/>
    <col min="6" max="6" width="22.85546875" style="243" customWidth="1"/>
    <col min="7" max="7" width="24.28515625" style="243" customWidth="1"/>
    <col min="8" max="8" width="15.7109375" style="243" customWidth="1"/>
    <col min="9" max="16384" width="8.85546875" style="243"/>
  </cols>
  <sheetData>
    <row r="1" spans="1:8" x14ac:dyDescent="0.2">
      <c r="A1" s="273" t="s">
        <v>583</v>
      </c>
      <c r="B1" s="273"/>
      <c r="C1" s="273"/>
      <c r="D1" s="273"/>
      <c r="E1" s="273"/>
      <c r="F1" s="273"/>
      <c r="G1" s="273"/>
    </row>
    <row r="2" spans="1:8" ht="18" customHeight="1" x14ac:dyDescent="0.2">
      <c r="A2" s="284" t="s">
        <v>530</v>
      </c>
      <c r="B2" s="284"/>
      <c r="C2" s="284"/>
      <c r="D2" s="284"/>
      <c r="E2" s="284"/>
      <c r="F2" s="284"/>
      <c r="G2" s="284"/>
      <c r="H2" s="284"/>
    </row>
    <row r="3" spans="1:8" x14ac:dyDescent="0.2">
      <c r="A3" s="244"/>
      <c r="B3" s="244"/>
      <c r="C3" s="244"/>
      <c r="D3" s="244"/>
      <c r="E3" s="244"/>
      <c r="F3" s="244"/>
      <c r="G3" s="244"/>
      <c r="H3" s="225"/>
    </row>
    <row r="4" spans="1:8" x14ac:dyDescent="0.2">
      <c r="A4" s="285" t="s">
        <v>531</v>
      </c>
      <c r="B4" s="285"/>
      <c r="C4" s="285"/>
      <c r="D4" s="285"/>
      <c r="E4" s="285"/>
      <c r="F4" s="285"/>
      <c r="G4" s="285"/>
      <c r="H4" s="285"/>
    </row>
    <row r="5" spans="1:8" x14ac:dyDescent="0.2">
      <c r="A5" s="244"/>
      <c r="B5" s="244"/>
      <c r="C5" s="244"/>
      <c r="D5" s="244"/>
      <c r="E5" s="244"/>
      <c r="F5" s="244"/>
      <c r="G5" s="244"/>
      <c r="H5" s="225"/>
    </row>
    <row r="6" spans="1:8" ht="25.5" x14ac:dyDescent="0.2">
      <c r="A6" s="286" t="s">
        <v>3</v>
      </c>
      <c r="B6" s="287"/>
      <c r="C6" s="287"/>
      <c r="D6" s="288"/>
      <c r="E6" s="226" t="s">
        <v>591</v>
      </c>
      <c r="F6" s="226" t="s">
        <v>592</v>
      </c>
      <c r="G6" s="226" t="s">
        <v>559</v>
      </c>
      <c r="H6" s="226" t="s">
        <v>4</v>
      </c>
    </row>
    <row r="7" spans="1:8" x14ac:dyDescent="0.2">
      <c r="A7" s="286">
        <v>1</v>
      </c>
      <c r="B7" s="287"/>
      <c r="C7" s="287"/>
      <c r="D7" s="288"/>
      <c r="E7" s="226">
        <v>3</v>
      </c>
      <c r="F7" s="226">
        <v>4</v>
      </c>
      <c r="G7" s="226">
        <v>5</v>
      </c>
      <c r="H7" s="226" t="s">
        <v>560</v>
      </c>
    </row>
    <row r="8" spans="1:8" ht="14.45" customHeight="1" x14ac:dyDescent="0.2">
      <c r="A8" s="289">
        <v>22857</v>
      </c>
      <c r="B8" s="290"/>
      <c r="C8" s="291"/>
      <c r="D8" s="227" t="s">
        <v>583</v>
      </c>
      <c r="E8" s="228">
        <f>+E9+E73+E410</f>
        <v>11847989</v>
      </c>
      <c r="F8" s="228">
        <f>+F9+F73+F410</f>
        <v>11847989</v>
      </c>
      <c r="G8" s="228">
        <f>+G9+G73+G410</f>
        <v>5912300.5900000008</v>
      </c>
      <c r="H8" s="229">
        <f>G8/F8*100</f>
        <v>49.901300465420761</v>
      </c>
    </row>
    <row r="9" spans="1:8" ht="27" customHeight="1" x14ac:dyDescent="0.2">
      <c r="A9" s="277" t="s">
        <v>562</v>
      </c>
      <c r="B9" s="278"/>
      <c r="C9" s="279"/>
      <c r="D9" s="230" t="s">
        <v>584</v>
      </c>
      <c r="E9" s="231">
        <f>+E10</f>
        <v>10524629</v>
      </c>
      <c r="F9" s="231">
        <f>+F10</f>
        <v>10524629</v>
      </c>
      <c r="G9" s="232">
        <f>+G10</f>
        <v>5274981.03</v>
      </c>
      <c r="H9" s="232">
        <f>G9/F9*100</f>
        <v>50.120351320697388</v>
      </c>
    </row>
    <row r="10" spans="1:8" ht="14.45" customHeight="1" x14ac:dyDescent="0.2">
      <c r="A10" s="280" t="s">
        <v>561</v>
      </c>
      <c r="B10" s="280"/>
      <c r="C10" s="280"/>
      <c r="D10" s="233" t="s">
        <v>55</v>
      </c>
      <c r="E10" s="234">
        <f>E11+E60</f>
        <v>10524629</v>
      </c>
      <c r="F10" s="234">
        <f t="shared" ref="F10:G10" si="0">F11+F60</f>
        <v>10524629</v>
      </c>
      <c r="G10" s="234">
        <f t="shared" si="0"/>
        <v>5274981.03</v>
      </c>
      <c r="H10" s="235">
        <f>G10/F10*100</f>
        <v>50.120351320697388</v>
      </c>
    </row>
    <row r="11" spans="1:8" ht="14.45" customHeight="1" x14ac:dyDescent="0.2">
      <c r="A11" s="274">
        <v>3</v>
      </c>
      <c r="B11" s="275"/>
      <c r="C11" s="276"/>
      <c r="D11" s="236" t="s">
        <v>82</v>
      </c>
      <c r="E11" s="237">
        <f>E12+E19+E50+E54+E57</f>
        <v>10499379</v>
      </c>
      <c r="F11" s="237">
        <f>F12+F19+F50+F54</f>
        <v>10499379</v>
      </c>
      <c r="G11" s="237">
        <f>G12+G19+G50+G54+G57</f>
        <v>5238447.83</v>
      </c>
      <c r="H11" s="238">
        <f t="shared" ref="H11:H73" si="1">G11/F11*100</f>
        <v>49.89293014377327</v>
      </c>
    </row>
    <row r="12" spans="1:8" ht="14.45" customHeight="1" x14ac:dyDescent="0.2">
      <c r="A12" s="274">
        <v>31</v>
      </c>
      <c r="B12" s="275"/>
      <c r="C12" s="276"/>
      <c r="D12" s="236" t="s">
        <v>84</v>
      </c>
      <c r="E12" s="237">
        <v>9914066</v>
      </c>
      <c r="F12" s="237">
        <v>9914066</v>
      </c>
      <c r="G12" s="237">
        <f t="shared" ref="G12" si="2">G13+G15+G17</f>
        <v>4769586.47</v>
      </c>
      <c r="H12" s="238">
        <f t="shared" si="1"/>
        <v>48.109287047312371</v>
      </c>
    </row>
    <row r="13" spans="1:8" ht="14.45" customHeight="1" x14ac:dyDescent="0.2">
      <c r="A13" s="274">
        <v>311</v>
      </c>
      <c r="B13" s="275"/>
      <c r="C13" s="276"/>
      <c r="D13" s="239" t="s">
        <v>86</v>
      </c>
      <c r="E13" s="237"/>
      <c r="F13" s="237"/>
      <c r="G13" s="237">
        <f t="shared" ref="G13" si="3">G14</f>
        <v>4025215.16</v>
      </c>
      <c r="H13" s="238"/>
    </row>
    <row r="14" spans="1:8" ht="14.45" customHeight="1" x14ac:dyDescent="0.2">
      <c r="A14" s="240">
        <v>3111</v>
      </c>
      <c r="B14" s="241"/>
      <c r="C14" s="236"/>
      <c r="D14" s="239" t="s">
        <v>88</v>
      </c>
      <c r="E14" s="237"/>
      <c r="F14" s="237"/>
      <c r="G14" s="237">
        <f>4002258.54+13546.67+9409.95</f>
        <v>4025215.16</v>
      </c>
      <c r="H14" s="238"/>
    </row>
    <row r="15" spans="1:8" ht="14.45" customHeight="1" x14ac:dyDescent="0.2">
      <c r="A15" s="272">
        <v>312</v>
      </c>
      <c r="B15" s="272"/>
      <c r="C15" s="272"/>
      <c r="D15" s="239" t="s">
        <v>92</v>
      </c>
      <c r="E15" s="237"/>
      <c r="F15" s="237"/>
      <c r="G15" s="237">
        <f t="shared" ref="G15" si="4">G16</f>
        <v>81595.86</v>
      </c>
      <c r="H15" s="238"/>
    </row>
    <row r="16" spans="1:8" ht="14.45" customHeight="1" x14ac:dyDescent="0.2">
      <c r="A16" s="274">
        <v>3121</v>
      </c>
      <c r="B16" s="275"/>
      <c r="C16" s="276"/>
      <c r="D16" s="239" t="s">
        <v>92</v>
      </c>
      <c r="E16" s="237"/>
      <c r="F16" s="238"/>
      <c r="G16" s="238">
        <f>77887.86+2700+600+300+108</f>
        <v>81595.86</v>
      </c>
      <c r="H16" s="238"/>
    </row>
    <row r="17" spans="1:8" ht="14.45" customHeight="1" x14ac:dyDescent="0.2">
      <c r="A17" s="274">
        <v>313</v>
      </c>
      <c r="B17" s="275"/>
      <c r="C17" s="276"/>
      <c r="D17" s="236" t="s">
        <v>95</v>
      </c>
      <c r="E17" s="237"/>
      <c r="F17" s="237"/>
      <c r="G17" s="237">
        <f t="shared" ref="G17" si="5">G18</f>
        <v>662775.45000000007</v>
      </c>
      <c r="H17" s="238"/>
    </row>
    <row r="18" spans="1:8" ht="14.45" customHeight="1" x14ac:dyDescent="0.2">
      <c r="A18" s="274">
        <v>3132</v>
      </c>
      <c r="B18" s="275"/>
      <c r="C18" s="276"/>
      <c r="D18" s="236" t="s">
        <v>563</v>
      </c>
      <c r="E18" s="237"/>
      <c r="F18" s="238"/>
      <c r="G18" s="238">
        <f>660064.41+1158.4+1552.64</f>
        <v>662775.45000000007</v>
      </c>
      <c r="H18" s="238"/>
    </row>
    <row r="19" spans="1:8" ht="13.5" customHeight="1" x14ac:dyDescent="0.2">
      <c r="A19" s="274">
        <v>32</v>
      </c>
      <c r="B19" s="275"/>
      <c r="C19" s="276"/>
      <c r="D19" s="236" t="s">
        <v>99</v>
      </c>
      <c r="E19" s="237">
        <v>583313</v>
      </c>
      <c r="F19" s="237">
        <v>583313</v>
      </c>
      <c r="G19" s="237">
        <f t="shared" ref="G19" si="6">G20+G32+G44+G42+G25</f>
        <v>465914.04000000004</v>
      </c>
      <c r="H19" s="238">
        <f t="shared" si="1"/>
        <v>79.873762456862778</v>
      </c>
    </row>
    <row r="20" spans="1:8" ht="14.45" customHeight="1" x14ac:dyDescent="0.2">
      <c r="A20" s="272">
        <v>321</v>
      </c>
      <c r="B20" s="272"/>
      <c r="C20" s="272"/>
      <c r="D20" s="239" t="s">
        <v>101</v>
      </c>
      <c r="E20" s="237"/>
      <c r="F20" s="237"/>
      <c r="G20" s="237">
        <f>G21+G22+G23+G24</f>
        <v>85979.05</v>
      </c>
      <c r="H20" s="238"/>
    </row>
    <row r="21" spans="1:8" ht="20.25" customHeight="1" x14ac:dyDescent="0.2">
      <c r="A21" s="272">
        <v>3211</v>
      </c>
      <c r="B21" s="272"/>
      <c r="C21" s="272"/>
      <c r="D21" s="239" t="s">
        <v>103</v>
      </c>
      <c r="E21" s="237"/>
      <c r="F21" s="238"/>
      <c r="G21" s="238">
        <f>450+33.31+35.9+1799.09+457.27+2130.56+276.41+776.42+1825.25+1535.07+61.6+2225+4256.02+76.5+1209.48+4889.68+4274.47+273.8-15</f>
        <v>26570.83</v>
      </c>
      <c r="H21" s="238"/>
    </row>
    <row r="22" spans="1:8" ht="23.25" customHeight="1" x14ac:dyDescent="0.2">
      <c r="A22" s="272">
        <v>3212</v>
      </c>
      <c r="B22" s="272"/>
      <c r="C22" s="272"/>
      <c r="D22" s="239" t="s">
        <v>105</v>
      </c>
      <c r="E22" s="237"/>
      <c r="F22" s="238"/>
      <c r="G22" s="238">
        <f>51858.27+1328.62</f>
        <v>53186.89</v>
      </c>
      <c r="H22" s="238"/>
    </row>
    <row r="23" spans="1:8" ht="14.45" customHeight="1" x14ac:dyDescent="0.2">
      <c r="A23" s="272">
        <v>3213</v>
      </c>
      <c r="B23" s="272"/>
      <c r="C23" s="272"/>
      <c r="D23" s="239" t="s">
        <v>107</v>
      </c>
      <c r="E23" s="237"/>
      <c r="F23" s="238"/>
      <c r="G23" s="238">
        <f>898.75+238.9+1038.88+2360.61+395.1</f>
        <v>4932.2400000000007</v>
      </c>
      <c r="H23" s="238"/>
    </row>
    <row r="24" spans="1:8" ht="14.45" customHeight="1" x14ac:dyDescent="0.2">
      <c r="A24" s="240">
        <v>3214</v>
      </c>
      <c r="B24" s="241"/>
      <c r="C24" s="236"/>
      <c r="D24" s="239" t="s">
        <v>109</v>
      </c>
      <c r="E24" s="237"/>
      <c r="F24" s="237"/>
      <c r="G24" s="237">
        <f>1437.67-148.58</f>
        <v>1289.0900000000001</v>
      </c>
      <c r="H24" s="238"/>
    </row>
    <row r="25" spans="1:8" ht="14.45" customHeight="1" x14ac:dyDescent="0.2">
      <c r="A25" s="274">
        <v>322</v>
      </c>
      <c r="B25" s="275"/>
      <c r="C25" s="276"/>
      <c r="D25" s="239" t="s">
        <v>111</v>
      </c>
      <c r="E25" s="237"/>
      <c r="F25" s="237"/>
      <c r="G25" s="237">
        <f t="shared" ref="G25" si="7">SUM(G26:G31)</f>
        <v>123930.74999999999</v>
      </c>
      <c r="H25" s="238"/>
    </row>
    <row r="26" spans="1:8" ht="14.45" customHeight="1" x14ac:dyDescent="0.2">
      <c r="A26" s="274">
        <v>3221</v>
      </c>
      <c r="B26" s="275"/>
      <c r="C26" s="276"/>
      <c r="D26" s="236" t="s">
        <v>113</v>
      </c>
      <c r="E26" s="237"/>
      <c r="F26" s="238"/>
      <c r="G26" s="238">
        <f>11087.41+180+2499.47+6226.25+198.13+679.41+157.73</f>
        <v>21028.399999999998</v>
      </c>
      <c r="H26" s="238"/>
    </row>
    <row r="27" spans="1:8" ht="14.45" customHeight="1" x14ac:dyDescent="0.2">
      <c r="A27" s="274">
        <v>3222</v>
      </c>
      <c r="B27" s="275"/>
      <c r="C27" s="276"/>
      <c r="D27" s="236" t="s">
        <v>382</v>
      </c>
      <c r="E27" s="237"/>
      <c r="F27" s="238"/>
      <c r="G27" s="238">
        <f>228.88+39.56+64.63+55</f>
        <v>388.07</v>
      </c>
      <c r="H27" s="238"/>
    </row>
    <row r="28" spans="1:8" ht="14.45" customHeight="1" x14ac:dyDescent="0.2">
      <c r="A28" s="274">
        <v>3223</v>
      </c>
      <c r="B28" s="275"/>
      <c r="C28" s="276"/>
      <c r="D28" s="236" t="s">
        <v>115</v>
      </c>
      <c r="E28" s="237"/>
      <c r="F28" s="238"/>
      <c r="G28" s="238">
        <f>48936.21+42091.22</f>
        <v>91027.43</v>
      </c>
      <c r="H28" s="238"/>
    </row>
    <row r="29" spans="1:8" ht="14.45" customHeight="1" x14ac:dyDescent="0.2">
      <c r="A29" s="272">
        <v>3224</v>
      </c>
      <c r="B29" s="272"/>
      <c r="C29" s="272"/>
      <c r="D29" s="239" t="s">
        <v>117</v>
      </c>
      <c r="E29" s="237"/>
      <c r="F29" s="238"/>
      <c r="G29" s="238">
        <f>3961.67+1071.29+80.96+283.61+2225.28</f>
        <v>7622.8099999999995</v>
      </c>
      <c r="H29" s="238"/>
    </row>
    <row r="30" spans="1:8" ht="14.45" customHeight="1" x14ac:dyDescent="0.2">
      <c r="A30" s="272">
        <v>3225</v>
      </c>
      <c r="B30" s="272"/>
      <c r="C30" s="272"/>
      <c r="D30" s="239" t="s">
        <v>564</v>
      </c>
      <c r="E30" s="237"/>
      <c r="F30" s="238"/>
      <c r="G30" s="238">
        <f>1408.65+313.9+2141.49</f>
        <v>3864.04</v>
      </c>
      <c r="H30" s="238"/>
    </row>
    <row r="31" spans="1:8" ht="14.45" customHeight="1" x14ac:dyDescent="0.2">
      <c r="A31" s="281">
        <v>3227</v>
      </c>
      <c r="B31" s="282"/>
      <c r="C31" s="283"/>
      <c r="D31" s="239" t="s">
        <v>565</v>
      </c>
      <c r="E31" s="237"/>
      <c r="F31" s="238"/>
      <c r="G31" s="237"/>
      <c r="H31" s="238"/>
    </row>
    <row r="32" spans="1:8" ht="14.45" customHeight="1" x14ac:dyDescent="0.2">
      <c r="A32" s="274">
        <v>323</v>
      </c>
      <c r="B32" s="275"/>
      <c r="C32" s="276"/>
      <c r="D32" s="239" t="s">
        <v>123</v>
      </c>
      <c r="E32" s="237"/>
      <c r="F32" s="237"/>
      <c r="G32" s="237">
        <f t="shared" ref="G32" si="8">G33+G34+G35+G36+G37+G38+G39+G40+G41</f>
        <v>228130.52</v>
      </c>
      <c r="H32" s="238"/>
    </row>
    <row r="33" spans="1:8" ht="14.45" customHeight="1" x14ac:dyDescent="0.2">
      <c r="A33" s="274">
        <v>3231</v>
      </c>
      <c r="B33" s="275"/>
      <c r="C33" s="276"/>
      <c r="D33" s="236" t="s">
        <v>125</v>
      </c>
      <c r="E33" s="237"/>
      <c r="F33" s="238"/>
      <c r="G33" s="238">
        <f>2733.67+4436.16+30+336.07+66.7+2645.37</f>
        <v>10247.969999999999</v>
      </c>
      <c r="H33" s="238"/>
    </row>
    <row r="34" spans="1:8" ht="14.45" customHeight="1" x14ac:dyDescent="0.2">
      <c r="A34" s="274">
        <v>3232</v>
      </c>
      <c r="B34" s="275"/>
      <c r="C34" s="276"/>
      <c r="D34" s="236" t="s">
        <v>127</v>
      </c>
      <c r="E34" s="237"/>
      <c r="F34" s="238"/>
      <c r="G34" s="238">
        <f>3357.5+19476.94+1298.51</f>
        <v>24132.949999999997</v>
      </c>
      <c r="H34" s="238"/>
    </row>
    <row r="35" spans="1:8" ht="14.45" customHeight="1" x14ac:dyDescent="0.2">
      <c r="A35" s="274">
        <v>3233</v>
      </c>
      <c r="B35" s="275"/>
      <c r="C35" s="276"/>
      <c r="D35" s="236" t="s">
        <v>129</v>
      </c>
      <c r="E35" s="237"/>
      <c r="F35" s="238"/>
      <c r="G35" s="238">
        <f>451.52+6084.5+1350+490.76-112.88+1425.63</f>
        <v>9689.5300000000025</v>
      </c>
      <c r="H35" s="238"/>
    </row>
    <row r="36" spans="1:8" ht="14.45" customHeight="1" x14ac:dyDescent="0.2">
      <c r="A36" s="272">
        <v>3234</v>
      </c>
      <c r="B36" s="272"/>
      <c r="C36" s="272"/>
      <c r="D36" s="239" t="s">
        <v>131</v>
      </c>
      <c r="E36" s="237"/>
      <c r="F36" s="238"/>
      <c r="G36" s="238">
        <f>2902.65+2677+364.38+10528+293.77+2105.6</f>
        <v>18871.399999999998</v>
      </c>
      <c r="H36" s="238"/>
    </row>
    <row r="37" spans="1:8" ht="14.45" customHeight="1" x14ac:dyDescent="0.2">
      <c r="A37" s="272">
        <v>3235</v>
      </c>
      <c r="B37" s="272"/>
      <c r="C37" s="272"/>
      <c r="D37" s="239" t="s">
        <v>133</v>
      </c>
      <c r="E37" s="237"/>
      <c r="F37" s="238"/>
      <c r="G37" s="238">
        <f>2052+360+391.02</f>
        <v>2803.02</v>
      </c>
      <c r="H37" s="238"/>
    </row>
    <row r="38" spans="1:8" ht="14.45" customHeight="1" x14ac:dyDescent="0.2">
      <c r="A38" s="274">
        <v>3236</v>
      </c>
      <c r="B38" s="275"/>
      <c r="C38" s="276"/>
      <c r="D38" s="239" t="s">
        <v>566</v>
      </c>
      <c r="E38" s="237"/>
      <c r="F38" s="238"/>
      <c r="G38" s="238">
        <f>461.46+450</f>
        <v>911.46</v>
      </c>
      <c r="H38" s="238"/>
    </row>
    <row r="39" spans="1:8" ht="14.45" customHeight="1" x14ac:dyDescent="0.2">
      <c r="A39" s="274">
        <v>3237</v>
      </c>
      <c r="B39" s="275"/>
      <c r="C39" s="276"/>
      <c r="D39" s="236" t="s">
        <v>137</v>
      </c>
      <c r="E39" s="237"/>
      <c r="F39" s="238"/>
      <c r="G39" s="238">
        <f>66354.95+25495.94+2000+18550.43+1983.59+1000+13039.48+1742.33+1452.36-8231.32-9132.31+1000-7706.66+335.23</f>
        <v>107884.01999999997</v>
      </c>
      <c r="H39" s="238"/>
    </row>
    <row r="40" spans="1:8" ht="15.75" customHeight="1" x14ac:dyDescent="0.2">
      <c r="A40" s="274">
        <v>3238</v>
      </c>
      <c r="B40" s="275"/>
      <c r="C40" s="276"/>
      <c r="D40" s="236" t="s">
        <v>139</v>
      </c>
      <c r="E40" s="237"/>
      <c r="F40" s="238"/>
      <c r="G40" s="238">
        <f>6771+568.75+1233.45</f>
        <v>8573.2000000000007</v>
      </c>
      <c r="H40" s="238"/>
    </row>
    <row r="41" spans="1:8" ht="15.75" customHeight="1" x14ac:dyDescent="0.2">
      <c r="A41" s="274">
        <v>3239</v>
      </c>
      <c r="B41" s="275"/>
      <c r="C41" s="276"/>
      <c r="D41" s="236" t="s">
        <v>141</v>
      </c>
      <c r="E41" s="237"/>
      <c r="F41" s="238"/>
      <c r="G41" s="238">
        <f>11015.19+12143.59+3362.7+8211.85+150+424+6438.34+3102.3+169</f>
        <v>45016.97</v>
      </c>
      <c r="H41" s="238"/>
    </row>
    <row r="42" spans="1:8" ht="24" customHeight="1" x14ac:dyDescent="0.2">
      <c r="A42" s="272">
        <v>324</v>
      </c>
      <c r="B42" s="272"/>
      <c r="C42" s="272"/>
      <c r="D42" s="239" t="s">
        <v>567</v>
      </c>
      <c r="E42" s="237"/>
      <c r="F42" s="237"/>
      <c r="G42" s="237">
        <f t="shared" ref="G42" si="9">G43</f>
        <v>6916.2000000000007</v>
      </c>
      <c r="H42" s="238"/>
    </row>
    <row r="43" spans="1:8" ht="22.5" customHeight="1" x14ac:dyDescent="0.2">
      <c r="A43" s="272">
        <v>3241</v>
      </c>
      <c r="B43" s="272"/>
      <c r="C43" s="272"/>
      <c r="D43" s="239" t="s">
        <v>567</v>
      </c>
      <c r="E43" s="237"/>
      <c r="F43" s="238"/>
      <c r="G43" s="238">
        <f>925.4+1932.73+158.3+990.75+1884.14+1024.88</f>
        <v>6916.2000000000007</v>
      </c>
      <c r="H43" s="238"/>
    </row>
    <row r="44" spans="1:8" x14ac:dyDescent="0.2">
      <c r="A44" s="274">
        <v>329</v>
      </c>
      <c r="B44" s="275"/>
      <c r="C44" s="276"/>
      <c r="D44" s="236" t="s">
        <v>146</v>
      </c>
      <c r="E44" s="237"/>
      <c r="F44" s="237"/>
      <c r="G44" s="237">
        <f>G46+G47+G48+G49+G45</f>
        <v>20957.520000000004</v>
      </c>
      <c r="H44" s="238"/>
    </row>
    <row r="45" spans="1:8" x14ac:dyDescent="0.2">
      <c r="A45" s="240">
        <v>3292</v>
      </c>
      <c r="B45" s="241"/>
      <c r="C45" s="236"/>
      <c r="D45" s="236" t="s">
        <v>150</v>
      </c>
      <c r="E45" s="237"/>
      <c r="F45" s="237"/>
      <c r="G45" s="237">
        <v>4841.3500000000004</v>
      </c>
      <c r="H45" s="238"/>
    </row>
    <row r="46" spans="1:8" x14ac:dyDescent="0.2">
      <c r="A46" s="240">
        <v>3293</v>
      </c>
      <c r="B46" s="241"/>
      <c r="C46" s="236"/>
      <c r="D46" s="242" t="s">
        <v>152</v>
      </c>
      <c r="E46" s="237"/>
      <c r="F46" s="237"/>
      <c r="G46" s="237">
        <f>4003.28+138.48+1444.12</f>
        <v>5585.88</v>
      </c>
      <c r="H46" s="238"/>
    </row>
    <row r="47" spans="1:8" x14ac:dyDescent="0.2">
      <c r="A47" s="274">
        <v>3294</v>
      </c>
      <c r="B47" s="275"/>
      <c r="C47" s="276"/>
      <c r="D47" s="236" t="s">
        <v>154</v>
      </c>
      <c r="E47" s="237"/>
      <c r="F47" s="238"/>
      <c r="G47" s="238">
        <f>161.54+70+208+75</f>
        <v>514.54</v>
      </c>
      <c r="H47" s="238"/>
    </row>
    <row r="48" spans="1:8" x14ac:dyDescent="0.2">
      <c r="A48" s="274">
        <v>3295</v>
      </c>
      <c r="B48" s="275"/>
      <c r="C48" s="276"/>
      <c r="D48" s="236" t="s">
        <v>156</v>
      </c>
      <c r="E48" s="237"/>
      <c r="F48" s="238"/>
      <c r="G48" s="238">
        <v>254.88</v>
      </c>
      <c r="H48" s="238"/>
    </row>
    <row r="49" spans="1:8" x14ac:dyDescent="0.2">
      <c r="A49" s="272">
        <v>3299</v>
      </c>
      <c r="B49" s="272"/>
      <c r="C49" s="272"/>
      <c r="D49" s="239" t="s">
        <v>146</v>
      </c>
      <c r="E49" s="237"/>
      <c r="F49" s="238"/>
      <c r="G49" s="238">
        <f>7646.13+150+1019+945.74</f>
        <v>9760.8700000000008</v>
      </c>
      <c r="H49" s="238"/>
    </row>
    <row r="50" spans="1:8" x14ac:dyDescent="0.2">
      <c r="A50" s="274">
        <v>34</v>
      </c>
      <c r="B50" s="275"/>
      <c r="C50" s="276"/>
      <c r="D50" s="239" t="s">
        <v>161</v>
      </c>
      <c r="E50" s="237">
        <v>2000</v>
      </c>
      <c r="F50" s="237">
        <v>2000</v>
      </c>
      <c r="G50" s="237">
        <f t="shared" ref="G50" si="10">G51</f>
        <v>1467.32</v>
      </c>
      <c r="H50" s="238">
        <f t="shared" si="1"/>
        <v>73.366</v>
      </c>
    </row>
    <row r="51" spans="1:8" x14ac:dyDescent="0.2">
      <c r="A51" s="274">
        <v>343</v>
      </c>
      <c r="B51" s="275"/>
      <c r="C51" s="276"/>
      <c r="D51" s="236" t="s">
        <v>163</v>
      </c>
      <c r="E51" s="237"/>
      <c r="F51" s="237"/>
      <c r="G51" s="237">
        <f t="shared" ref="G51" si="11">G52+G53</f>
        <v>1467.32</v>
      </c>
      <c r="H51" s="238"/>
    </row>
    <row r="52" spans="1:8" x14ac:dyDescent="0.2">
      <c r="A52" s="274">
        <v>3431</v>
      </c>
      <c r="B52" s="275"/>
      <c r="C52" s="276"/>
      <c r="D52" s="236" t="s">
        <v>165</v>
      </c>
      <c r="E52" s="237"/>
      <c r="F52" s="238"/>
      <c r="G52" s="238">
        <f>1126.17+63.77+273.1</f>
        <v>1463.04</v>
      </c>
      <c r="H52" s="238"/>
    </row>
    <row r="53" spans="1:8" x14ac:dyDescent="0.2">
      <c r="A53" s="240">
        <v>3433</v>
      </c>
      <c r="B53" s="241"/>
      <c r="C53" s="236"/>
      <c r="D53" s="236" t="s">
        <v>392</v>
      </c>
      <c r="E53" s="237"/>
      <c r="F53" s="237"/>
      <c r="G53" s="237">
        <v>4.28</v>
      </c>
      <c r="H53" s="238"/>
    </row>
    <row r="54" spans="1:8" ht="25.5" x14ac:dyDescent="0.2">
      <c r="A54" s="272">
        <v>37</v>
      </c>
      <c r="B54" s="272"/>
      <c r="C54" s="272"/>
      <c r="D54" s="239" t="s">
        <v>204</v>
      </c>
      <c r="E54" s="237"/>
      <c r="F54" s="237"/>
      <c r="G54" s="237">
        <f t="shared" ref="G54:G58" si="12">G55</f>
        <v>0</v>
      </c>
      <c r="H54" s="238"/>
    </row>
    <row r="55" spans="1:8" ht="25.5" x14ac:dyDescent="0.2">
      <c r="A55" s="272">
        <v>372</v>
      </c>
      <c r="B55" s="272"/>
      <c r="C55" s="272"/>
      <c r="D55" s="239" t="s">
        <v>206</v>
      </c>
      <c r="E55" s="237"/>
      <c r="F55" s="237"/>
      <c r="G55" s="237">
        <f t="shared" si="12"/>
        <v>0</v>
      </c>
      <c r="H55" s="238"/>
    </row>
    <row r="56" spans="1:8" x14ac:dyDescent="0.2">
      <c r="A56" s="272">
        <v>3721</v>
      </c>
      <c r="B56" s="272"/>
      <c r="C56" s="272"/>
      <c r="D56" s="239" t="s">
        <v>208</v>
      </c>
      <c r="E56" s="237"/>
      <c r="F56" s="237"/>
      <c r="G56" s="237">
        <v>0</v>
      </c>
      <c r="H56" s="238"/>
    </row>
    <row r="57" spans="1:8" x14ac:dyDescent="0.2">
      <c r="A57" s="272">
        <v>38</v>
      </c>
      <c r="B57" s="272"/>
      <c r="C57" s="272"/>
      <c r="D57" s="239" t="s">
        <v>210</v>
      </c>
      <c r="E57" s="237"/>
      <c r="F57" s="237"/>
      <c r="G57" s="237">
        <f t="shared" si="12"/>
        <v>1480</v>
      </c>
      <c r="H57" s="238"/>
    </row>
    <row r="58" spans="1:8" x14ac:dyDescent="0.2">
      <c r="A58" s="272">
        <v>381</v>
      </c>
      <c r="B58" s="272"/>
      <c r="C58" s="272"/>
      <c r="D58" s="239" t="s">
        <v>212</v>
      </c>
      <c r="E58" s="237"/>
      <c r="F58" s="237"/>
      <c r="G58" s="237">
        <f t="shared" si="12"/>
        <v>1480</v>
      </c>
      <c r="H58" s="238"/>
    </row>
    <row r="59" spans="1:8" x14ac:dyDescent="0.2">
      <c r="A59" s="272">
        <v>3811</v>
      </c>
      <c r="B59" s="272"/>
      <c r="C59" s="272"/>
      <c r="D59" s="239" t="s">
        <v>214</v>
      </c>
      <c r="E59" s="237"/>
      <c r="F59" s="237"/>
      <c r="G59" s="237">
        <f>1200+280</f>
        <v>1480</v>
      </c>
      <c r="H59" s="238"/>
    </row>
    <row r="60" spans="1:8" x14ac:dyDescent="0.2">
      <c r="A60" s="272">
        <v>4</v>
      </c>
      <c r="B60" s="272"/>
      <c r="C60" s="272"/>
      <c r="D60" s="239" t="s">
        <v>227</v>
      </c>
      <c r="E60" s="237">
        <f>E61+E64</f>
        <v>25250</v>
      </c>
      <c r="F60" s="237">
        <f t="shared" ref="F60:G60" si="13">F61+F64</f>
        <v>25250</v>
      </c>
      <c r="G60" s="237">
        <f t="shared" si="13"/>
        <v>36533.200000000004</v>
      </c>
      <c r="H60" s="238">
        <f t="shared" si="1"/>
        <v>144.68594059405942</v>
      </c>
    </row>
    <row r="61" spans="1:8" ht="25.5" x14ac:dyDescent="0.2">
      <c r="A61" s="272">
        <v>41</v>
      </c>
      <c r="B61" s="272"/>
      <c r="C61" s="272"/>
      <c r="D61" s="239" t="s">
        <v>568</v>
      </c>
      <c r="E61" s="237">
        <v>10000</v>
      </c>
      <c r="F61" s="237">
        <v>10000</v>
      </c>
      <c r="G61" s="237">
        <f t="shared" ref="G61:G62" si="14">G62</f>
        <v>0</v>
      </c>
      <c r="H61" s="238">
        <f t="shared" si="1"/>
        <v>0</v>
      </c>
    </row>
    <row r="62" spans="1:8" x14ac:dyDescent="0.2">
      <c r="A62" s="274">
        <v>412</v>
      </c>
      <c r="B62" s="275"/>
      <c r="C62" s="276"/>
      <c r="D62" s="239" t="s">
        <v>230</v>
      </c>
      <c r="E62" s="237"/>
      <c r="F62" s="237"/>
      <c r="G62" s="237">
        <f t="shared" si="14"/>
        <v>0</v>
      </c>
      <c r="H62" s="238"/>
    </row>
    <row r="63" spans="1:8" x14ac:dyDescent="0.2">
      <c r="A63" s="274">
        <v>4123</v>
      </c>
      <c r="B63" s="275"/>
      <c r="C63" s="276"/>
      <c r="D63" s="236" t="s">
        <v>232</v>
      </c>
      <c r="E63" s="237"/>
      <c r="F63" s="238"/>
      <c r="G63" s="238">
        <v>0</v>
      </c>
      <c r="H63" s="238"/>
    </row>
    <row r="64" spans="1:8" ht="25.5" x14ac:dyDescent="0.2">
      <c r="A64" s="274">
        <v>42</v>
      </c>
      <c r="B64" s="275"/>
      <c r="C64" s="276"/>
      <c r="D64" s="236" t="s">
        <v>234</v>
      </c>
      <c r="E64" s="237">
        <v>15250</v>
      </c>
      <c r="F64" s="237">
        <v>15250</v>
      </c>
      <c r="G64" s="237">
        <f t="shared" ref="G64" si="15">G65+G69+G71</f>
        <v>36533.200000000004</v>
      </c>
      <c r="H64" s="238">
        <f t="shared" si="1"/>
        <v>239.5619672131148</v>
      </c>
    </row>
    <row r="65" spans="1:8" x14ac:dyDescent="0.2">
      <c r="A65" s="274">
        <v>422</v>
      </c>
      <c r="B65" s="275"/>
      <c r="C65" s="276"/>
      <c r="D65" s="236" t="s">
        <v>240</v>
      </c>
      <c r="E65" s="237"/>
      <c r="F65" s="237"/>
      <c r="G65" s="237">
        <f>G66+G68+G67</f>
        <v>35759.910000000003</v>
      </c>
      <c r="H65" s="238"/>
    </row>
    <row r="66" spans="1:8" x14ac:dyDescent="0.2">
      <c r="A66" s="272">
        <v>4221</v>
      </c>
      <c r="B66" s="272"/>
      <c r="C66" s="272"/>
      <c r="D66" s="239" t="s">
        <v>242</v>
      </c>
      <c r="E66" s="237"/>
      <c r="F66" s="238"/>
      <c r="G66" s="238">
        <f>1990.65+100+33369.26</f>
        <v>35459.910000000003</v>
      </c>
      <c r="H66" s="238"/>
    </row>
    <row r="67" spans="1:8" x14ac:dyDescent="0.2">
      <c r="A67" s="240">
        <v>4222</v>
      </c>
      <c r="B67" s="241"/>
      <c r="C67" s="236"/>
      <c r="D67" s="239" t="s">
        <v>582</v>
      </c>
      <c r="E67" s="237"/>
      <c r="F67" s="238"/>
      <c r="G67" s="238">
        <v>300</v>
      </c>
      <c r="H67" s="238"/>
    </row>
    <row r="68" spans="1:8" x14ac:dyDescent="0.2">
      <c r="A68" s="274">
        <v>4225</v>
      </c>
      <c r="B68" s="275"/>
      <c r="C68" s="276"/>
      <c r="D68" s="239" t="s">
        <v>441</v>
      </c>
      <c r="E68" s="237"/>
      <c r="F68" s="238"/>
      <c r="G68" s="238">
        <v>0</v>
      </c>
      <c r="H68" s="238"/>
    </row>
    <row r="69" spans="1:8" ht="25.5" x14ac:dyDescent="0.2">
      <c r="A69" s="274">
        <v>424</v>
      </c>
      <c r="B69" s="275"/>
      <c r="C69" s="276"/>
      <c r="D69" s="236" t="s">
        <v>449</v>
      </c>
      <c r="E69" s="237"/>
      <c r="F69" s="237"/>
      <c r="G69" s="237">
        <f t="shared" ref="G69" si="16">G70</f>
        <v>773.29000000000008</v>
      </c>
      <c r="H69" s="238"/>
    </row>
    <row r="70" spans="1:8" x14ac:dyDescent="0.2">
      <c r="A70" s="274">
        <v>4241</v>
      </c>
      <c r="B70" s="275"/>
      <c r="C70" s="276"/>
      <c r="D70" s="236" t="s">
        <v>569</v>
      </c>
      <c r="E70" s="237"/>
      <c r="F70" s="238"/>
      <c r="G70" s="238">
        <f>241.96+531.33</f>
        <v>773.29000000000008</v>
      </c>
      <c r="H70" s="238"/>
    </row>
    <row r="71" spans="1:8" x14ac:dyDescent="0.2">
      <c r="A71" s="274">
        <v>426</v>
      </c>
      <c r="B71" s="275"/>
      <c r="C71" s="276"/>
      <c r="D71" s="236" t="s">
        <v>246</v>
      </c>
      <c r="E71" s="237"/>
      <c r="F71" s="237"/>
      <c r="G71" s="237">
        <f t="shared" ref="G71" si="17">G72</f>
        <v>0</v>
      </c>
      <c r="H71" s="238"/>
    </row>
    <row r="72" spans="1:8" x14ac:dyDescent="0.2">
      <c r="A72" s="272">
        <v>4262</v>
      </c>
      <c r="B72" s="272"/>
      <c r="C72" s="272"/>
      <c r="D72" s="239" t="s">
        <v>248</v>
      </c>
      <c r="E72" s="237"/>
      <c r="F72" s="238"/>
      <c r="G72" s="238">
        <v>0</v>
      </c>
      <c r="H72" s="238"/>
    </row>
    <row r="73" spans="1:8" ht="25.5" x14ac:dyDescent="0.2">
      <c r="A73" s="277" t="s">
        <v>571</v>
      </c>
      <c r="B73" s="278"/>
      <c r="C73" s="279"/>
      <c r="D73" s="230" t="s">
        <v>585</v>
      </c>
      <c r="E73" s="231">
        <f>+E76+E83+E114+E138+E145+E176+E181+E187+E194+E254+E261+E290+E310+E317+E361+E368</f>
        <v>966287</v>
      </c>
      <c r="F73" s="231">
        <f>+F76+F83+F114+F138+F145+F176+F181+F187+F194+F254+F261+F290+F310+F317+F361+F368</f>
        <v>966287</v>
      </c>
      <c r="G73" s="232">
        <f>+G74+G136+G202+G252+G308+G359</f>
        <v>521513.07999999996</v>
      </c>
      <c r="H73" s="232">
        <f t="shared" si="1"/>
        <v>53.970826472880205</v>
      </c>
    </row>
    <row r="74" spans="1:8" x14ac:dyDescent="0.2">
      <c r="A74" s="280" t="s">
        <v>599</v>
      </c>
      <c r="B74" s="280"/>
      <c r="C74" s="280"/>
      <c r="D74" s="233" t="s">
        <v>485</v>
      </c>
      <c r="E74" s="234">
        <f>E75+E120</f>
        <v>51950</v>
      </c>
      <c r="F74" s="234">
        <f>F75+F120</f>
        <v>51950</v>
      </c>
      <c r="G74" s="234">
        <f>G75+G120</f>
        <v>149.61000000000001</v>
      </c>
      <c r="H74" s="235">
        <f t="shared" ref="H74:H114" si="18">G74/F74*100</f>
        <v>0.28798845043310878</v>
      </c>
    </row>
    <row r="75" spans="1:8" x14ac:dyDescent="0.2">
      <c r="A75" s="274">
        <v>3</v>
      </c>
      <c r="B75" s="275"/>
      <c r="C75" s="276"/>
      <c r="D75" s="236" t="s">
        <v>82</v>
      </c>
      <c r="E75" s="237">
        <f>E76+E83+E110+E114+E117</f>
        <v>51950</v>
      </c>
      <c r="F75" s="237">
        <f>F76+F83+F110+F114+F117</f>
        <v>51950</v>
      </c>
      <c r="G75" s="237">
        <f>G76+G83+G110+G114+G117</f>
        <v>149.61000000000001</v>
      </c>
      <c r="H75" s="238">
        <f t="shared" si="18"/>
        <v>0.28798845043310878</v>
      </c>
    </row>
    <row r="76" spans="1:8" x14ac:dyDescent="0.2">
      <c r="A76" s="274">
        <v>31</v>
      </c>
      <c r="B76" s="275"/>
      <c r="C76" s="276"/>
      <c r="D76" s="236" t="s">
        <v>84</v>
      </c>
      <c r="E76" s="237">
        <v>34950</v>
      </c>
      <c r="F76" s="237">
        <v>34950</v>
      </c>
      <c r="G76" s="237">
        <f t="shared" ref="G76" si="19">G77+G79+G81</f>
        <v>0</v>
      </c>
      <c r="H76" s="238">
        <f t="shared" si="18"/>
        <v>0</v>
      </c>
    </row>
    <row r="77" spans="1:8" x14ac:dyDescent="0.2">
      <c r="A77" s="274">
        <v>311</v>
      </c>
      <c r="B77" s="275"/>
      <c r="C77" s="276"/>
      <c r="D77" s="236" t="s">
        <v>86</v>
      </c>
      <c r="E77" s="237">
        <f>E78</f>
        <v>0</v>
      </c>
      <c r="F77" s="237">
        <f t="shared" ref="F77:G77" si="20">F78</f>
        <v>0</v>
      </c>
      <c r="G77" s="237">
        <f t="shared" si="20"/>
        <v>0</v>
      </c>
      <c r="H77" s="238"/>
    </row>
    <row r="78" spans="1:8" x14ac:dyDescent="0.2">
      <c r="A78" s="272">
        <v>3111</v>
      </c>
      <c r="B78" s="272"/>
      <c r="C78" s="272"/>
      <c r="D78" s="239" t="s">
        <v>88</v>
      </c>
      <c r="E78" s="237"/>
      <c r="F78" s="238"/>
      <c r="G78" s="238"/>
      <c r="H78" s="238"/>
    </row>
    <row r="79" spans="1:8" x14ac:dyDescent="0.2">
      <c r="A79" s="281">
        <v>312</v>
      </c>
      <c r="B79" s="282"/>
      <c r="C79" s="283"/>
      <c r="D79" s="239" t="s">
        <v>92</v>
      </c>
      <c r="E79" s="237">
        <f>E80</f>
        <v>0</v>
      </c>
      <c r="F79" s="237">
        <f t="shared" ref="F79:G79" si="21">F80</f>
        <v>0</v>
      </c>
      <c r="G79" s="237">
        <f t="shared" si="21"/>
        <v>0</v>
      </c>
      <c r="H79" s="238"/>
    </row>
    <row r="80" spans="1:8" x14ac:dyDescent="0.2">
      <c r="A80" s="281">
        <v>3121</v>
      </c>
      <c r="B80" s="282"/>
      <c r="C80" s="283"/>
      <c r="D80" s="239" t="s">
        <v>92</v>
      </c>
      <c r="E80" s="237"/>
      <c r="F80" s="238"/>
      <c r="G80" s="238"/>
      <c r="H80" s="238"/>
    </row>
    <row r="81" spans="1:8" x14ac:dyDescent="0.2">
      <c r="A81" s="272">
        <v>313</v>
      </c>
      <c r="B81" s="272"/>
      <c r="C81" s="272"/>
      <c r="D81" s="239" t="s">
        <v>95</v>
      </c>
      <c r="E81" s="237">
        <f>E82</f>
        <v>0</v>
      </c>
      <c r="F81" s="237">
        <f t="shared" ref="F81:G81" si="22">F82</f>
        <v>0</v>
      </c>
      <c r="G81" s="237">
        <f t="shared" si="22"/>
        <v>0</v>
      </c>
      <c r="H81" s="238"/>
    </row>
    <row r="82" spans="1:8" x14ac:dyDescent="0.2">
      <c r="A82" s="274">
        <v>3132</v>
      </c>
      <c r="B82" s="275"/>
      <c r="C82" s="276"/>
      <c r="D82" s="239" t="s">
        <v>563</v>
      </c>
      <c r="E82" s="237"/>
      <c r="F82" s="238"/>
      <c r="G82" s="238"/>
      <c r="H82" s="238"/>
    </row>
    <row r="83" spans="1:8" x14ac:dyDescent="0.2">
      <c r="A83" s="274">
        <v>32</v>
      </c>
      <c r="B83" s="275"/>
      <c r="C83" s="276"/>
      <c r="D83" s="236" t="s">
        <v>99</v>
      </c>
      <c r="E83" s="237">
        <v>15000</v>
      </c>
      <c r="F83" s="237">
        <v>15000</v>
      </c>
      <c r="G83" s="237">
        <f>G84+G89+G96+G103+G105</f>
        <v>148.58000000000001</v>
      </c>
      <c r="H83" s="238">
        <f t="shared" si="18"/>
        <v>0.99053333333333338</v>
      </c>
    </row>
    <row r="84" spans="1:8" x14ac:dyDescent="0.2">
      <c r="A84" s="274">
        <v>321</v>
      </c>
      <c r="B84" s="275"/>
      <c r="C84" s="276"/>
      <c r="D84" s="236" t="s">
        <v>570</v>
      </c>
      <c r="E84" s="237">
        <f>SUM(E85:E88)</f>
        <v>0</v>
      </c>
      <c r="F84" s="237">
        <f>E84</f>
        <v>0</v>
      </c>
      <c r="G84" s="237">
        <f>SUM(G85:G88)</f>
        <v>148.58000000000001</v>
      </c>
      <c r="H84" s="238"/>
    </row>
    <row r="85" spans="1:8" x14ac:dyDescent="0.2">
      <c r="A85" s="272">
        <v>3211</v>
      </c>
      <c r="B85" s="272"/>
      <c r="C85" s="272"/>
      <c r="D85" s="239" t="s">
        <v>103</v>
      </c>
      <c r="E85" s="237"/>
      <c r="F85" s="237"/>
      <c r="G85" s="238"/>
      <c r="H85" s="238"/>
    </row>
    <row r="86" spans="1:8" ht="25.5" x14ac:dyDescent="0.2">
      <c r="A86" s="274">
        <v>3212</v>
      </c>
      <c r="B86" s="275"/>
      <c r="C86" s="276"/>
      <c r="D86" s="239" t="s">
        <v>572</v>
      </c>
      <c r="E86" s="237"/>
      <c r="F86" s="237"/>
      <c r="G86" s="238"/>
      <c r="H86" s="238"/>
    </row>
    <row r="87" spans="1:8" x14ac:dyDescent="0.2">
      <c r="A87" s="272">
        <v>3213</v>
      </c>
      <c r="B87" s="272"/>
      <c r="C87" s="272"/>
      <c r="D87" s="239" t="s">
        <v>107</v>
      </c>
      <c r="E87" s="237"/>
      <c r="F87" s="237"/>
      <c r="G87" s="238"/>
      <c r="H87" s="238"/>
    </row>
    <row r="88" spans="1:8" x14ac:dyDescent="0.2">
      <c r="A88" s="274">
        <v>3214</v>
      </c>
      <c r="B88" s="275"/>
      <c r="C88" s="276"/>
      <c r="D88" s="239" t="s">
        <v>109</v>
      </c>
      <c r="E88" s="237">
        <v>0</v>
      </c>
      <c r="F88" s="237">
        <v>0</v>
      </c>
      <c r="G88" s="238">
        <v>148.58000000000001</v>
      </c>
      <c r="H88" s="238"/>
    </row>
    <row r="89" spans="1:8" x14ac:dyDescent="0.2">
      <c r="A89" s="274">
        <v>322</v>
      </c>
      <c r="B89" s="275"/>
      <c r="C89" s="276"/>
      <c r="D89" s="239" t="s">
        <v>111</v>
      </c>
      <c r="E89" s="237">
        <f>SUM(E90:E95)</f>
        <v>0</v>
      </c>
      <c r="F89" s="237">
        <f t="shared" ref="F89" si="23">SUM(F90:F95)</f>
        <v>0</v>
      </c>
      <c r="G89" s="237">
        <f>SUM(G90:G95)</f>
        <v>0</v>
      </c>
      <c r="H89" s="238"/>
    </row>
    <row r="90" spans="1:8" x14ac:dyDescent="0.2">
      <c r="A90" s="274">
        <v>3221</v>
      </c>
      <c r="B90" s="275"/>
      <c r="C90" s="276"/>
      <c r="D90" s="236" t="s">
        <v>113</v>
      </c>
      <c r="E90" s="237"/>
      <c r="F90" s="238"/>
      <c r="G90" s="238"/>
      <c r="H90" s="238"/>
    </row>
    <row r="91" spans="1:8" x14ac:dyDescent="0.2">
      <c r="A91" s="274">
        <v>3222</v>
      </c>
      <c r="B91" s="275"/>
      <c r="C91" s="276"/>
      <c r="D91" s="236" t="s">
        <v>382</v>
      </c>
      <c r="E91" s="237"/>
      <c r="F91" s="238"/>
      <c r="G91" s="238"/>
      <c r="H91" s="238"/>
    </row>
    <row r="92" spans="1:8" x14ac:dyDescent="0.2">
      <c r="A92" s="274">
        <v>3223</v>
      </c>
      <c r="B92" s="275"/>
      <c r="C92" s="276"/>
      <c r="D92" s="236" t="s">
        <v>115</v>
      </c>
      <c r="E92" s="237"/>
      <c r="F92" s="238"/>
      <c r="G92" s="238"/>
      <c r="H92" s="238"/>
    </row>
    <row r="93" spans="1:8" ht="25.5" x14ac:dyDescent="0.2">
      <c r="A93" s="272">
        <v>3224</v>
      </c>
      <c r="B93" s="272"/>
      <c r="C93" s="272"/>
      <c r="D93" s="239" t="s">
        <v>117</v>
      </c>
      <c r="E93" s="237"/>
      <c r="F93" s="238"/>
      <c r="G93" s="238"/>
      <c r="H93" s="238"/>
    </row>
    <row r="94" spans="1:8" x14ac:dyDescent="0.2">
      <c r="A94" s="272">
        <v>3225</v>
      </c>
      <c r="B94" s="272"/>
      <c r="C94" s="272"/>
      <c r="D94" s="239" t="s">
        <v>564</v>
      </c>
      <c r="E94" s="237"/>
      <c r="F94" s="238"/>
      <c r="G94" s="238"/>
      <c r="H94" s="238"/>
    </row>
    <row r="95" spans="1:8" x14ac:dyDescent="0.2">
      <c r="A95" s="272">
        <v>3227</v>
      </c>
      <c r="B95" s="272"/>
      <c r="C95" s="272"/>
      <c r="D95" s="239" t="s">
        <v>565</v>
      </c>
      <c r="E95" s="237"/>
      <c r="F95" s="238"/>
      <c r="G95" s="238"/>
      <c r="H95" s="238"/>
    </row>
    <row r="96" spans="1:8" x14ac:dyDescent="0.2">
      <c r="A96" s="274">
        <v>323</v>
      </c>
      <c r="B96" s="275"/>
      <c r="C96" s="276"/>
      <c r="D96" s="239" t="s">
        <v>123</v>
      </c>
      <c r="E96" s="237">
        <f>SUM(E97:E102)</f>
        <v>0</v>
      </c>
      <c r="F96" s="237">
        <f>SUM(F97:F102)</f>
        <v>0</v>
      </c>
      <c r="G96" s="237">
        <f>SUM(G97:G102)</f>
        <v>0</v>
      </c>
      <c r="H96" s="238"/>
    </row>
    <row r="97" spans="1:8" x14ac:dyDescent="0.2">
      <c r="A97" s="274">
        <v>3231</v>
      </c>
      <c r="B97" s="275"/>
      <c r="C97" s="276"/>
      <c r="D97" s="236" t="s">
        <v>125</v>
      </c>
      <c r="E97" s="237"/>
      <c r="F97" s="238"/>
      <c r="G97" s="238"/>
      <c r="H97" s="238"/>
    </row>
    <row r="98" spans="1:8" x14ac:dyDescent="0.2">
      <c r="A98" s="274">
        <v>3232</v>
      </c>
      <c r="B98" s="275"/>
      <c r="C98" s="276"/>
      <c r="D98" s="236" t="s">
        <v>127</v>
      </c>
      <c r="E98" s="237"/>
      <c r="F98" s="238"/>
      <c r="G98" s="238"/>
      <c r="H98" s="238"/>
    </row>
    <row r="99" spans="1:8" x14ac:dyDescent="0.2">
      <c r="A99" s="274">
        <v>3233</v>
      </c>
      <c r="B99" s="275"/>
      <c r="C99" s="276"/>
      <c r="D99" s="236" t="s">
        <v>129</v>
      </c>
      <c r="E99" s="237"/>
      <c r="F99" s="238"/>
      <c r="G99" s="238"/>
      <c r="H99" s="238"/>
    </row>
    <row r="100" spans="1:8" x14ac:dyDescent="0.2">
      <c r="A100" s="272">
        <v>3235</v>
      </c>
      <c r="B100" s="272"/>
      <c r="C100" s="272"/>
      <c r="D100" s="239" t="s">
        <v>133</v>
      </c>
      <c r="E100" s="237"/>
      <c r="F100" s="238"/>
      <c r="G100" s="238"/>
      <c r="H100" s="238"/>
    </row>
    <row r="101" spans="1:8" x14ac:dyDescent="0.2">
      <c r="A101" s="274">
        <v>3237</v>
      </c>
      <c r="B101" s="275"/>
      <c r="C101" s="276"/>
      <c r="D101" s="236" t="s">
        <v>137</v>
      </c>
      <c r="E101" s="237"/>
      <c r="F101" s="238"/>
      <c r="G101" s="238"/>
      <c r="H101" s="238"/>
    </row>
    <row r="102" spans="1:8" x14ac:dyDescent="0.2">
      <c r="A102" s="274">
        <v>3239</v>
      </c>
      <c r="B102" s="275"/>
      <c r="C102" s="276"/>
      <c r="D102" s="236" t="s">
        <v>141</v>
      </c>
      <c r="E102" s="237"/>
      <c r="F102" s="238"/>
      <c r="G102" s="238"/>
      <c r="H102" s="238"/>
    </row>
    <row r="103" spans="1:8" ht="25.5" x14ac:dyDescent="0.2">
      <c r="A103" s="272">
        <v>324</v>
      </c>
      <c r="B103" s="272"/>
      <c r="C103" s="272"/>
      <c r="D103" s="239" t="s">
        <v>567</v>
      </c>
      <c r="E103" s="237">
        <f>E104</f>
        <v>0</v>
      </c>
      <c r="F103" s="237">
        <f t="shared" ref="F103:G103" si="24">F104</f>
        <v>0</v>
      </c>
      <c r="G103" s="237">
        <f t="shared" si="24"/>
        <v>0</v>
      </c>
      <c r="H103" s="238"/>
    </row>
    <row r="104" spans="1:8" ht="25.5" x14ac:dyDescent="0.2">
      <c r="A104" s="272">
        <v>3241</v>
      </c>
      <c r="B104" s="272"/>
      <c r="C104" s="272"/>
      <c r="D104" s="239" t="s">
        <v>567</v>
      </c>
      <c r="E104" s="237"/>
      <c r="F104" s="238"/>
      <c r="G104" s="238"/>
      <c r="H104" s="238"/>
    </row>
    <row r="105" spans="1:8" x14ac:dyDescent="0.2">
      <c r="A105" s="274">
        <v>329</v>
      </c>
      <c r="B105" s="275"/>
      <c r="C105" s="276"/>
      <c r="D105" s="239" t="s">
        <v>146</v>
      </c>
      <c r="E105" s="237">
        <f>SUM(E106:E109)</f>
        <v>0</v>
      </c>
      <c r="F105" s="237">
        <f>SUM(F106:F109)</f>
        <v>0</v>
      </c>
      <c r="G105" s="237">
        <f>SUM(G106:G109)</f>
        <v>0</v>
      </c>
      <c r="H105" s="238"/>
    </row>
    <row r="106" spans="1:8" x14ac:dyDescent="0.2">
      <c r="A106" s="274">
        <v>3292</v>
      </c>
      <c r="B106" s="275"/>
      <c r="C106" s="276"/>
      <c r="D106" s="236" t="s">
        <v>150</v>
      </c>
      <c r="E106" s="237"/>
      <c r="F106" s="238"/>
      <c r="G106" s="238"/>
      <c r="H106" s="238"/>
    </row>
    <row r="107" spans="1:8" x14ac:dyDescent="0.2">
      <c r="A107" s="274">
        <v>3293</v>
      </c>
      <c r="B107" s="275"/>
      <c r="C107" s="276"/>
      <c r="D107" s="236" t="s">
        <v>152</v>
      </c>
      <c r="E107" s="237"/>
      <c r="F107" s="238"/>
      <c r="G107" s="238"/>
      <c r="H107" s="238"/>
    </row>
    <row r="108" spans="1:8" x14ac:dyDescent="0.2">
      <c r="A108" s="274">
        <v>3294</v>
      </c>
      <c r="B108" s="275"/>
      <c r="C108" s="276"/>
      <c r="D108" s="236" t="s">
        <v>154</v>
      </c>
      <c r="E108" s="237"/>
      <c r="F108" s="238"/>
      <c r="G108" s="238"/>
      <c r="H108" s="238"/>
    </row>
    <row r="109" spans="1:8" x14ac:dyDescent="0.2">
      <c r="A109" s="272">
        <v>3299</v>
      </c>
      <c r="B109" s="272"/>
      <c r="C109" s="272"/>
      <c r="D109" s="239" t="s">
        <v>146</v>
      </c>
      <c r="E109" s="237"/>
      <c r="F109" s="238"/>
      <c r="G109" s="238"/>
      <c r="H109" s="238"/>
    </row>
    <row r="110" spans="1:8" x14ac:dyDescent="0.2">
      <c r="A110" s="274">
        <v>34</v>
      </c>
      <c r="B110" s="275"/>
      <c r="C110" s="276"/>
      <c r="D110" s="239" t="s">
        <v>161</v>
      </c>
      <c r="E110" s="237">
        <f>E111</f>
        <v>0</v>
      </c>
      <c r="F110" s="237">
        <f t="shared" ref="F110:G110" si="25">F111</f>
        <v>0</v>
      </c>
      <c r="G110" s="237">
        <f t="shared" si="25"/>
        <v>0</v>
      </c>
      <c r="H110" s="237"/>
    </row>
    <row r="111" spans="1:8" x14ac:dyDescent="0.2">
      <c r="A111" s="274">
        <v>343</v>
      </c>
      <c r="B111" s="275"/>
      <c r="C111" s="276"/>
      <c r="D111" s="236" t="s">
        <v>163</v>
      </c>
      <c r="E111" s="237">
        <f>E113+E112</f>
        <v>0</v>
      </c>
      <c r="F111" s="237">
        <f t="shared" ref="F111:G111" si="26">F113+F112</f>
        <v>0</v>
      </c>
      <c r="G111" s="237">
        <f t="shared" si="26"/>
        <v>0</v>
      </c>
      <c r="H111" s="237"/>
    </row>
    <row r="112" spans="1:8" x14ac:dyDescent="0.2">
      <c r="A112" s="240">
        <v>3431</v>
      </c>
      <c r="B112" s="241"/>
      <c r="C112" s="236"/>
      <c r="D112" s="236" t="s">
        <v>165</v>
      </c>
      <c r="E112" s="237">
        <v>0</v>
      </c>
      <c r="F112" s="237">
        <f>E112</f>
        <v>0</v>
      </c>
      <c r="G112" s="237"/>
      <c r="H112" s="238"/>
    </row>
    <row r="113" spans="1:8" ht="25.5" x14ac:dyDescent="0.2">
      <c r="A113" s="274">
        <v>3432</v>
      </c>
      <c r="B113" s="275"/>
      <c r="C113" s="276"/>
      <c r="D113" s="236" t="s">
        <v>390</v>
      </c>
      <c r="E113" s="237">
        <v>0</v>
      </c>
      <c r="F113" s="238">
        <f>E113</f>
        <v>0</v>
      </c>
      <c r="G113" s="238">
        <v>0</v>
      </c>
      <c r="H113" s="238"/>
    </row>
    <row r="114" spans="1:8" ht="25.5" x14ac:dyDescent="0.2">
      <c r="A114" s="274">
        <v>36</v>
      </c>
      <c r="B114" s="275"/>
      <c r="C114" s="276"/>
      <c r="D114" s="236" t="s">
        <v>176</v>
      </c>
      <c r="E114" s="237">
        <v>2000</v>
      </c>
      <c r="F114" s="237">
        <v>2000</v>
      </c>
      <c r="G114" s="237">
        <f t="shared" ref="F114:G115" si="27">G115</f>
        <v>1.03</v>
      </c>
      <c r="H114" s="238">
        <f t="shared" si="18"/>
        <v>5.1500000000000004E-2</v>
      </c>
    </row>
    <row r="115" spans="1:8" ht="25.5" x14ac:dyDescent="0.2">
      <c r="A115" s="274">
        <v>369</v>
      </c>
      <c r="B115" s="275"/>
      <c r="C115" s="276"/>
      <c r="D115" s="236" t="s">
        <v>196</v>
      </c>
      <c r="E115" s="237">
        <f>E116</f>
        <v>0</v>
      </c>
      <c r="F115" s="237">
        <f t="shared" si="27"/>
        <v>0</v>
      </c>
      <c r="G115" s="237">
        <f t="shared" si="27"/>
        <v>1.03</v>
      </c>
      <c r="H115" s="238"/>
    </row>
    <row r="116" spans="1:8" ht="25.5" x14ac:dyDescent="0.2">
      <c r="A116" s="274">
        <v>3691</v>
      </c>
      <c r="B116" s="275"/>
      <c r="C116" s="276"/>
      <c r="D116" s="236" t="s">
        <v>573</v>
      </c>
      <c r="E116" s="237"/>
      <c r="F116" s="238"/>
      <c r="G116" s="238">
        <v>1.03</v>
      </c>
      <c r="H116" s="238"/>
    </row>
    <row r="117" spans="1:8" x14ac:dyDescent="0.2">
      <c r="A117" s="240">
        <v>38</v>
      </c>
      <c r="B117" s="241"/>
      <c r="C117" s="236"/>
      <c r="D117" s="236" t="s">
        <v>574</v>
      </c>
      <c r="E117" s="237">
        <f t="shared" ref="E117:G118" si="28">E118</f>
        <v>0</v>
      </c>
      <c r="F117" s="237">
        <f t="shared" si="28"/>
        <v>0</v>
      </c>
      <c r="G117" s="237">
        <f t="shared" si="28"/>
        <v>0</v>
      </c>
      <c r="H117" s="238"/>
    </row>
    <row r="118" spans="1:8" x14ac:dyDescent="0.2">
      <c r="A118" s="240">
        <v>381</v>
      </c>
      <c r="B118" s="241"/>
      <c r="C118" s="236"/>
      <c r="D118" s="236" t="s">
        <v>212</v>
      </c>
      <c r="E118" s="237">
        <f t="shared" si="28"/>
        <v>0</v>
      </c>
      <c r="F118" s="237">
        <f t="shared" si="28"/>
        <v>0</v>
      </c>
      <c r="G118" s="237">
        <f t="shared" si="28"/>
        <v>0</v>
      </c>
      <c r="H118" s="238"/>
    </row>
    <row r="119" spans="1:8" x14ac:dyDescent="0.2">
      <c r="A119" s="240">
        <v>3811</v>
      </c>
      <c r="B119" s="241"/>
      <c r="C119" s="236"/>
      <c r="D119" s="236" t="s">
        <v>214</v>
      </c>
      <c r="E119" s="237"/>
      <c r="F119" s="237"/>
      <c r="G119" s="237"/>
      <c r="H119" s="238"/>
    </row>
    <row r="120" spans="1:8" x14ac:dyDescent="0.2">
      <c r="A120" s="272">
        <v>4</v>
      </c>
      <c r="B120" s="272"/>
      <c r="C120" s="272"/>
      <c r="D120" s="239" t="s">
        <v>227</v>
      </c>
      <c r="E120" s="237">
        <f>E121+E124</f>
        <v>0</v>
      </c>
      <c r="F120" s="237">
        <f t="shared" ref="F120:G120" si="29">F121+F124</f>
        <v>0</v>
      </c>
      <c r="G120" s="237">
        <f t="shared" si="29"/>
        <v>0</v>
      </c>
      <c r="H120" s="238"/>
    </row>
    <row r="121" spans="1:8" ht="25.5" x14ac:dyDescent="0.2">
      <c r="A121" s="272">
        <v>41</v>
      </c>
      <c r="B121" s="272"/>
      <c r="C121" s="272"/>
      <c r="D121" s="239" t="s">
        <v>575</v>
      </c>
      <c r="E121" s="237">
        <f>E122</f>
        <v>0</v>
      </c>
      <c r="F121" s="237">
        <f t="shared" ref="F121:G122" si="30">F122</f>
        <v>0</v>
      </c>
      <c r="G121" s="237">
        <f t="shared" si="30"/>
        <v>0</v>
      </c>
      <c r="H121" s="238"/>
    </row>
    <row r="122" spans="1:8" x14ac:dyDescent="0.2">
      <c r="A122" s="274">
        <v>412</v>
      </c>
      <c r="B122" s="275"/>
      <c r="C122" s="276"/>
      <c r="D122" s="239" t="s">
        <v>230</v>
      </c>
      <c r="E122" s="237">
        <f>E123</f>
        <v>0</v>
      </c>
      <c r="F122" s="237">
        <f t="shared" si="30"/>
        <v>0</v>
      </c>
      <c r="G122" s="237">
        <f t="shared" si="30"/>
        <v>0</v>
      </c>
      <c r="H122" s="238"/>
    </row>
    <row r="123" spans="1:8" x14ac:dyDescent="0.2">
      <c r="A123" s="274">
        <v>4123</v>
      </c>
      <c r="B123" s="275"/>
      <c r="C123" s="276"/>
      <c r="D123" s="236" t="s">
        <v>232</v>
      </c>
      <c r="E123" s="237"/>
      <c r="F123" s="238">
        <f>E123</f>
        <v>0</v>
      </c>
      <c r="G123" s="238">
        <v>0</v>
      </c>
      <c r="H123" s="238"/>
    </row>
    <row r="124" spans="1:8" ht="25.5" x14ac:dyDescent="0.2">
      <c r="A124" s="274">
        <v>42</v>
      </c>
      <c r="B124" s="275"/>
      <c r="C124" s="276"/>
      <c r="D124" s="236" t="s">
        <v>576</v>
      </c>
      <c r="E124" s="237">
        <f>E125+E132+E134+E130</f>
        <v>0</v>
      </c>
      <c r="F124" s="237">
        <f t="shared" ref="F124" si="31">F125+F132+F134+F130</f>
        <v>0</v>
      </c>
      <c r="G124" s="237">
        <f>G125+G132</f>
        <v>0</v>
      </c>
      <c r="H124" s="237"/>
    </row>
    <row r="125" spans="1:8" x14ac:dyDescent="0.2">
      <c r="A125" s="274">
        <v>422</v>
      </c>
      <c r="B125" s="275"/>
      <c r="C125" s="276"/>
      <c r="D125" s="236" t="s">
        <v>240</v>
      </c>
      <c r="E125" s="237">
        <f t="shared" ref="E125:F125" si="32">SUM(E126:E129)</f>
        <v>0</v>
      </c>
      <c r="F125" s="237">
        <f t="shared" si="32"/>
        <v>0</v>
      </c>
      <c r="G125" s="237">
        <f>SUM(G126:G129)</f>
        <v>0</v>
      </c>
      <c r="H125" s="238"/>
    </row>
    <row r="126" spans="1:8" x14ac:dyDescent="0.2">
      <c r="A126" s="272">
        <v>4221</v>
      </c>
      <c r="B126" s="272"/>
      <c r="C126" s="272"/>
      <c r="D126" s="239" t="s">
        <v>242</v>
      </c>
      <c r="E126" s="237"/>
      <c r="F126" s="238"/>
      <c r="G126" s="238"/>
      <c r="H126" s="238"/>
    </row>
    <row r="127" spans="1:8" x14ac:dyDescent="0.2">
      <c r="A127" s="272">
        <v>4224</v>
      </c>
      <c r="B127" s="272"/>
      <c r="C127" s="272"/>
      <c r="D127" s="239" t="s">
        <v>244</v>
      </c>
      <c r="E127" s="237"/>
      <c r="F127" s="238"/>
      <c r="G127" s="238"/>
      <c r="H127" s="238"/>
    </row>
    <row r="128" spans="1:8" x14ac:dyDescent="0.2">
      <c r="A128" s="274">
        <v>4225</v>
      </c>
      <c r="B128" s="275"/>
      <c r="C128" s="276"/>
      <c r="D128" s="239" t="s">
        <v>441</v>
      </c>
      <c r="E128" s="237"/>
      <c r="F128" s="238"/>
      <c r="G128" s="238"/>
      <c r="H128" s="238"/>
    </row>
    <row r="129" spans="1:8" x14ac:dyDescent="0.2">
      <c r="A129" s="240">
        <v>4227</v>
      </c>
      <c r="B129" s="241"/>
      <c r="C129" s="236"/>
      <c r="D129" s="242" t="s">
        <v>577</v>
      </c>
      <c r="E129" s="237"/>
      <c r="F129" s="238"/>
      <c r="G129" s="237"/>
      <c r="H129" s="238"/>
    </row>
    <row r="130" spans="1:8" x14ac:dyDescent="0.2">
      <c r="A130" s="240">
        <v>423</v>
      </c>
      <c r="B130" s="241"/>
      <c r="C130" s="236"/>
      <c r="D130" s="242" t="s">
        <v>445</v>
      </c>
      <c r="E130" s="237">
        <f t="shared" ref="E130:F130" si="33">E131</f>
        <v>0</v>
      </c>
      <c r="F130" s="237">
        <f t="shared" si="33"/>
        <v>0</v>
      </c>
      <c r="G130" s="237">
        <f>G131</f>
        <v>0</v>
      </c>
      <c r="H130" s="238"/>
    </row>
    <row r="131" spans="1:8" x14ac:dyDescent="0.2">
      <c r="A131" s="240">
        <v>4231</v>
      </c>
      <c r="B131" s="241"/>
      <c r="C131" s="236"/>
      <c r="D131" s="242" t="s">
        <v>578</v>
      </c>
      <c r="E131" s="237">
        <v>0</v>
      </c>
      <c r="F131" s="237">
        <f>E131</f>
        <v>0</v>
      </c>
      <c r="G131" s="237">
        <v>0</v>
      </c>
      <c r="H131" s="238"/>
    </row>
    <row r="132" spans="1:8" ht="25.5" x14ac:dyDescent="0.2">
      <c r="A132" s="274">
        <v>424</v>
      </c>
      <c r="B132" s="275"/>
      <c r="C132" s="276"/>
      <c r="D132" s="236" t="s">
        <v>449</v>
      </c>
      <c r="E132" s="237">
        <f t="shared" ref="E132:G132" si="34">E133</f>
        <v>0</v>
      </c>
      <c r="F132" s="237">
        <f t="shared" si="34"/>
        <v>0</v>
      </c>
      <c r="G132" s="237">
        <f t="shared" si="34"/>
        <v>0</v>
      </c>
      <c r="H132" s="238"/>
    </row>
    <row r="133" spans="1:8" x14ac:dyDescent="0.2">
      <c r="A133" s="274">
        <v>4241</v>
      </c>
      <c r="B133" s="275"/>
      <c r="C133" s="276"/>
      <c r="D133" s="236" t="s">
        <v>569</v>
      </c>
      <c r="E133" s="237"/>
      <c r="F133" s="237"/>
      <c r="G133" s="238"/>
      <c r="H133" s="238"/>
    </row>
    <row r="134" spans="1:8" x14ac:dyDescent="0.2">
      <c r="A134" s="274">
        <v>426</v>
      </c>
      <c r="B134" s="275"/>
      <c r="C134" s="276"/>
      <c r="D134" s="236" t="s">
        <v>246</v>
      </c>
      <c r="E134" s="237">
        <f>E135</f>
        <v>0</v>
      </c>
      <c r="F134" s="237">
        <f>F135</f>
        <v>0</v>
      </c>
      <c r="G134" s="237">
        <f>G135</f>
        <v>0</v>
      </c>
      <c r="H134" s="238"/>
    </row>
    <row r="135" spans="1:8" x14ac:dyDescent="0.2">
      <c r="A135" s="272">
        <v>4262</v>
      </c>
      <c r="B135" s="272"/>
      <c r="C135" s="272"/>
      <c r="D135" s="239" t="s">
        <v>248</v>
      </c>
      <c r="E135" s="237"/>
      <c r="F135" s="238"/>
      <c r="G135" s="238">
        <v>0</v>
      </c>
      <c r="H135" s="238"/>
    </row>
    <row r="136" spans="1:8" x14ac:dyDescent="0.2">
      <c r="A136" s="280" t="s">
        <v>600</v>
      </c>
      <c r="B136" s="280"/>
      <c r="C136" s="280"/>
      <c r="D136" s="233" t="s">
        <v>61</v>
      </c>
      <c r="E136" s="234">
        <f>E137+E190</f>
        <v>356897</v>
      </c>
      <c r="F136" s="234">
        <f t="shared" ref="F136:G136" si="35">F137+F190</f>
        <v>356897</v>
      </c>
      <c r="G136" s="234">
        <f t="shared" si="35"/>
        <v>89835.970000000016</v>
      </c>
      <c r="H136" s="235">
        <f t="shared" ref="H136:H194" si="36">G136/F136*100</f>
        <v>25.171399591478778</v>
      </c>
    </row>
    <row r="137" spans="1:8" x14ac:dyDescent="0.2">
      <c r="A137" s="274">
        <v>3</v>
      </c>
      <c r="B137" s="275"/>
      <c r="C137" s="276"/>
      <c r="D137" s="236" t="s">
        <v>82</v>
      </c>
      <c r="E137" s="237">
        <f t="shared" ref="E137:G137" si="37">E138+E145+E176+E181+E187+E184</f>
        <v>325904</v>
      </c>
      <c r="F137" s="237">
        <f t="shared" si="37"/>
        <v>325904</v>
      </c>
      <c r="G137" s="237">
        <f t="shared" si="37"/>
        <v>89835.970000000016</v>
      </c>
      <c r="H137" s="238">
        <f t="shared" si="36"/>
        <v>27.565163360989743</v>
      </c>
    </row>
    <row r="138" spans="1:8" x14ac:dyDescent="0.2">
      <c r="A138" s="274">
        <v>31</v>
      </c>
      <c r="B138" s="275"/>
      <c r="C138" s="276"/>
      <c r="D138" s="236" t="s">
        <v>84</v>
      </c>
      <c r="E138" s="237">
        <v>56542</v>
      </c>
      <c r="F138" s="237">
        <v>56542</v>
      </c>
      <c r="G138" s="237">
        <f t="shared" ref="G138" si="38">G139+G141+G143</f>
        <v>70080.27</v>
      </c>
      <c r="H138" s="238">
        <f t="shared" si="36"/>
        <v>123.94374093594142</v>
      </c>
    </row>
    <row r="139" spans="1:8" x14ac:dyDescent="0.2">
      <c r="A139" s="274">
        <v>311</v>
      </c>
      <c r="B139" s="275"/>
      <c r="C139" s="276"/>
      <c r="D139" s="236" t="s">
        <v>86</v>
      </c>
      <c r="E139" s="237">
        <f>E140</f>
        <v>0</v>
      </c>
      <c r="F139" s="237">
        <f t="shared" ref="F139:G139" si="39">F140</f>
        <v>0</v>
      </c>
      <c r="G139" s="237">
        <f t="shared" si="39"/>
        <v>60154.74</v>
      </c>
      <c r="H139" s="238"/>
    </row>
    <row r="140" spans="1:8" x14ac:dyDescent="0.2">
      <c r="A140" s="272">
        <v>3111</v>
      </c>
      <c r="B140" s="272"/>
      <c r="C140" s="272"/>
      <c r="D140" s="239" t="s">
        <v>88</v>
      </c>
      <c r="E140" s="237"/>
      <c r="F140" s="238"/>
      <c r="G140" s="238">
        <v>60154.74</v>
      </c>
      <c r="H140" s="238"/>
    </row>
    <row r="141" spans="1:8" x14ac:dyDescent="0.2">
      <c r="A141" s="281">
        <v>312</v>
      </c>
      <c r="B141" s="282"/>
      <c r="C141" s="283"/>
      <c r="D141" s="239" t="s">
        <v>92</v>
      </c>
      <c r="E141" s="237">
        <f>E142</f>
        <v>0</v>
      </c>
      <c r="F141" s="237">
        <f t="shared" ref="F141:G141" si="40">F142</f>
        <v>0</v>
      </c>
      <c r="G141" s="237">
        <f t="shared" si="40"/>
        <v>0</v>
      </c>
      <c r="H141" s="238"/>
    </row>
    <row r="142" spans="1:8" x14ac:dyDescent="0.2">
      <c r="A142" s="281">
        <v>3121</v>
      </c>
      <c r="B142" s="282"/>
      <c r="C142" s="283"/>
      <c r="D142" s="239" t="s">
        <v>92</v>
      </c>
      <c r="E142" s="237"/>
      <c r="F142" s="238"/>
      <c r="G142" s="238"/>
      <c r="H142" s="238"/>
    </row>
    <row r="143" spans="1:8" x14ac:dyDescent="0.2">
      <c r="A143" s="272">
        <v>313</v>
      </c>
      <c r="B143" s="272"/>
      <c r="C143" s="272"/>
      <c r="D143" s="239" t="s">
        <v>95</v>
      </c>
      <c r="E143" s="237">
        <f>E144</f>
        <v>0</v>
      </c>
      <c r="F143" s="237">
        <f t="shared" ref="F143:G143" si="41">F144</f>
        <v>0</v>
      </c>
      <c r="G143" s="237">
        <f t="shared" si="41"/>
        <v>9925.5300000000007</v>
      </c>
      <c r="H143" s="238"/>
    </row>
    <row r="144" spans="1:8" x14ac:dyDescent="0.2">
      <c r="A144" s="274">
        <v>3132</v>
      </c>
      <c r="B144" s="275"/>
      <c r="C144" s="276"/>
      <c r="D144" s="239" t="s">
        <v>563</v>
      </c>
      <c r="E144" s="237"/>
      <c r="F144" s="238"/>
      <c r="G144" s="238">
        <v>9925.5300000000007</v>
      </c>
      <c r="H144" s="238"/>
    </row>
    <row r="145" spans="1:8" x14ac:dyDescent="0.2">
      <c r="A145" s="274">
        <v>32</v>
      </c>
      <c r="B145" s="275"/>
      <c r="C145" s="276"/>
      <c r="D145" s="236" t="s">
        <v>99</v>
      </c>
      <c r="E145" s="237">
        <v>251962</v>
      </c>
      <c r="F145" s="237">
        <v>251962</v>
      </c>
      <c r="G145" s="237">
        <f t="shared" ref="G145" si="42">G146+G151+G158+G168+G170</f>
        <v>16730.120000000003</v>
      </c>
      <c r="H145" s="238">
        <f t="shared" si="36"/>
        <v>6.6399377683936471</v>
      </c>
    </row>
    <row r="146" spans="1:8" x14ac:dyDescent="0.2">
      <c r="A146" s="274">
        <v>321</v>
      </c>
      <c r="B146" s="275"/>
      <c r="C146" s="276"/>
      <c r="D146" s="236" t="s">
        <v>570</v>
      </c>
      <c r="E146" s="237">
        <f>SUM(E147:E150)</f>
        <v>0</v>
      </c>
      <c r="F146" s="237">
        <f t="shared" ref="F146:G146" si="43">SUM(F147:F150)</f>
        <v>0</v>
      </c>
      <c r="G146" s="237">
        <f t="shared" si="43"/>
        <v>31.4</v>
      </c>
      <c r="H146" s="238"/>
    </row>
    <row r="147" spans="1:8" x14ac:dyDescent="0.2">
      <c r="A147" s="272">
        <v>3211</v>
      </c>
      <c r="B147" s="272"/>
      <c r="C147" s="272"/>
      <c r="D147" s="239" t="s">
        <v>103</v>
      </c>
      <c r="E147" s="237"/>
      <c r="F147" s="238"/>
      <c r="G147" s="238">
        <v>15</v>
      </c>
      <c r="H147" s="238"/>
    </row>
    <row r="148" spans="1:8" ht="25.5" x14ac:dyDescent="0.2">
      <c r="A148" s="274">
        <v>3212</v>
      </c>
      <c r="B148" s="275"/>
      <c r="C148" s="276"/>
      <c r="D148" s="239" t="s">
        <v>572</v>
      </c>
      <c r="E148" s="237">
        <v>0</v>
      </c>
      <c r="F148" s="238">
        <f t="shared" ref="F148" si="44">E148</f>
        <v>0</v>
      </c>
      <c r="G148" s="238">
        <v>0</v>
      </c>
      <c r="H148" s="238"/>
    </row>
    <row r="149" spans="1:8" x14ac:dyDescent="0.2">
      <c r="A149" s="272">
        <v>3213</v>
      </c>
      <c r="B149" s="272"/>
      <c r="C149" s="272"/>
      <c r="D149" s="239" t="s">
        <v>107</v>
      </c>
      <c r="E149" s="237"/>
      <c r="F149" s="238"/>
      <c r="G149" s="238"/>
      <c r="H149" s="238"/>
    </row>
    <row r="150" spans="1:8" x14ac:dyDescent="0.2">
      <c r="A150" s="274">
        <v>3214</v>
      </c>
      <c r="B150" s="275"/>
      <c r="C150" s="276"/>
      <c r="D150" s="239" t="s">
        <v>579</v>
      </c>
      <c r="E150" s="237"/>
      <c r="F150" s="238"/>
      <c r="G150" s="238">
        <v>16.399999999999999</v>
      </c>
      <c r="H150" s="238"/>
    </row>
    <row r="151" spans="1:8" x14ac:dyDescent="0.2">
      <c r="A151" s="274">
        <v>322</v>
      </c>
      <c r="B151" s="275"/>
      <c r="C151" s="276"/>
      <c r="D151" s="239" t="s">
        <v>111</v>
      </c>
      <c r="E151" s="237">
        <f>SUM(E152:E157)</f>
        <v>0</v>
      </c>
      <c r="F151" s="237">
        <f t="shared" ref="F151:G151" si="45">SUM(F152:F157)</f>
        <v>0</v>
      </c>
      <c r="G151" s="237">
        <f t="shared" si="45"/>
        <v>16585.84</v>
      </c>
      <c r="H151" s="238"/>
    </row>
    <row r="152" spans="1:8" x14ac:dyDescent="0.2">
      <c r="A152" s="274">
        <v>3221</v>
      </c>
      <c r="B152" s="275"/>
      <c r="C152" s="276"/>
      <c r="D152" s="236" t="s">
        <v>113</v>
      </c>
      <c r="E152" s="237"/>
      <c r="F152" s="238"/>
      <c r="G152" s="238"/>
      <c r="H152" s="238"/>
    </row>
    <row r="153" spans="1:8" x14ac:dyDescent="0.2">
      <c r="A153" s="274">
        <v>3222</v>
      </c>
      <c r="B153" s="275"/>
      <c r="C153" s="276"/>
      <c r="D153" s="236" t="s">
        <v>382</v>
      </c>
      <c r="E153" s="237"/>
      <c r="F153" s="238"/>
      <c r="G153" s="238"/>
      <c r="H153" s="238"/>
    </row>
    <row r="154" spans="1:8" x14ac:dyDescent="0.2">
      <c r="A154" s="274">
        <v>3223</v>
      </c>
      <c r="B154" s="275"/>
      <c r="C154" s="276"/>
      <c r="D154" s="236" t="s">
        <v>115</v>
      </c>
      <c r="E154" s="237"/>
      <c r="F154" s="238"/>
      <c r="G154" s="238">
        <f>7464.57+9121.27</f>
        <v>16585.84</v>
      </c>
      <c r="H154" s="238"/>
    </row>
    <row r="155" spans="1:8" ht="25.5" x14ac:dyDescent="0.2">
      <c r="A155" s="272">
        <v>3224</v>
      </c>
      <c r="B155" s="272"/>
      <c r="C155" s="272"/>
      <c r="D155" s="239" t="s">
        <v>117</v>
      </c>
      <c r="E155" s="237"/>
      <c r="F155" s="238"/>
      <c r="G155" s="238"/>
      <c r="H155" s="238"/>
    </row>
    <row r="156" spans="1:8" x14ac:dyDescent="0.2">
      <c r="A156" s="272">
        <v>3225</v>
      </c>
      <c r="B156" s="272"/>
      <c r="C156" s="272"/>
      <c r="D156" s="239" t="s">
        <v>564</v>
      </c>
      <c r="E156" s="237"/>
      <c r="F156" s="238"/>
      <c r="G156" s="238"/>
      <c r="H156" s="238"/>
    </row>
    <row r="157" spans="1:8" x14ac:dyDescent="0.2">
      <c r="A157" s="272">
        <v>3227</v>
      </c>
      <c r="B157" s="272"/>
      <c r="C157" s="272"/>
      <c r="D157" s="239" t="s">
        <v>565</v>
      </c>
      <c r="E157" s="237"/>
      <c r="F157" s="238"/>
      <c r="G157" s="238"/>
      <c r="H157" s="238"/>
    </row>
    <row r="158" spans="1:8" x14ac:dyDescent="0.2">
      <c r="A158" s="274">
        <v>323</v>
      </c>
      <c r="B158" s="275"/>
      <c r="C158" s="276"/>
      <c r="D158" s="239" t="s">
        <v>123</v>
      </c>
      <c r="E158" s="237">
        <f>SUM(E159:E167)</f>
        <v>0</v>
      </c>
      <c r="F158" s="237">
        <f t="shared" ref="F158:G158" si="46">SUM(F159:F167)</f>
        <v>0</v>
      </c>
      <c r="G158" s="237">
        <f t="shared" si="46"/>
        <v>112.88</v>
      </c>
      <c r="H158" s="238"/>
    </row>
    <row r="159" spans="1:8" x14ac:dyDescent="0.2">
      <c r="A159" s="274">
        <v>3231</v>
      </c>
      <c r="B159" s="275"/>
      <c r="C159" s="276"/>
      <c r="D159" s="236" t="s">
        <v>125</v>
      </c>
      <c r="E159" s="237"/>
      <c r="F159" s="238"/>
      <c r="G159" s="238"/>
      <c r="H159" s="238"/>
    </row>
    <row r="160" spans="1:8" x14ac:dyDescent="0.2">
      <c r="A160" s="274">
        <v>3232</v>
      </c>
      <c r="B160" s="275"/>
      <c r="C160" s="276"/>
      <c r="D160" s="236" t="s">
        <v>127</v>
      </c>
      <c r="E160" s="237"/>
      <c r="F160" s="238"/>
      <c r="G160" s="238"/>
      <c r="H160" s="238"/>
    </row>
    <row r="161" spans="1:8" x14ac:dyDescent="0.2">
      <c r="A161" s="274">
        <v>3233</v>
      </c>
      <c r="B161" s="275"/>
      <c r="C161" s="276"/>
      <c r="D161" s="236" t="s">
        <v>129</v>
      </c>
      <c r="E161" s="237"/>
      <c r="F161" s="238"/>
      <c r="G161" s="238">
        <v>112.88</v>
      </c>
      <c r="H161" s="238"/>
    </row>
    <row r="162" spans="1:8" x14ac:dyDescent="0.2">
      <c r="A162" s="272">
        <v>3234</v>
      </c>
      <c r="B162" s="272"/>
      <c r="C162" s="272"/>
      <c r="D162" s="239" t="s">
        <v>131</v>
      </c>
      <c r="E162" s="237"/>
      <c r="F162" s="238"/>
      <c r="G162" s="238"/>
      <c r="H162" s="238"/>
    </row>
    <row r="163" spans="1:8" x14ac:dyDescent="0.2">
      <c r="A163" s="272">
        <v>3235</v>
      </c>
      <c r="B163" s="272"/>
      <c r="C163" s="272"/>
      <c r="D163" s="239" t="s">
        <v>133</v>
      </c>
      <c r="E163" s="237"/>
      <c r="F163" s="238"/>
      <c r="G163" s="238"/>
      <c r="H163" s="238"/>
    </row>
    <row r="164" spans="1:8" x14ac:dyDescent="0.2">
      <c r="A164" s="274">
        <v>3236</v>
      </c>
      <c r="B164" s="275"/>
      <c r="C164" s="276"/>
      <c r="D164" s="239" t="s">
        <v>566</v>
      </c>
      <c r="E164" s="237"/>
      <c r="F164" s="238"/>
      <c r="G164" s="238"/>
      <c r="H164" s="238"/>
    </row>
    <row r="165" spans="1:8" x14ac:dyDescent="0.2">
      <c r="A165" s="274">
        <v>3237</v>
      </c>
      <c r="B165" s="275"/>
      <c r="C165" s="276"/>
      <c r="D165" s="236" t="s">
        <v>137</v>
      </c>
      <c r="E165" s="237"/>
      <c r="F165" s="238"/>
      <c r="G165" s="238"/>
      <c r="H165" s="238"/>
    </row>
    <row r="166" spans="1:8" x14ac:dyDescent="0.2">
      <c r="A166" s="274">
        <v>3238</v>
      </c>
      <c r="B166" s="275"/>
      <c r="C166" s="276"/>
      <c r="D166" s="236" t="s">
        <v>139</v>
      </c>
      <c r="E166" s="237"/>
      <c r="F166" s="238"/>
      <c r="G166" s="238"/>
      <c r="H166" s="238"/>
    </row>
    <row r="167" spans="1:8" x14ac:dyDescent="0.2">
      <c r="A167" s="274">
        <v>3239</v>
      </c>
      <c r="B167" s="275"/>
      <c r="C167" s="276"/>
      <c r="D167" s="236" t="s">
        <v>141</v>
      </c>
      <c r="E167" s="237"/>
      <c r="F167" s="238"/>
      <c r="G167" s="238"/>
      <c r="H167" s="238"/>
    </row>
    <row r="168" spans="1:8" ht="25.5" x14ac:dyDescent="0.2">
      <c r="A168" s="272">
        <v>324</v>
      </c>
      <c r="B168" s="272"/>
      <c r="C168" s="272"/>
      <c r="D168" s="239" t="s">
        <v>567</v>
      </c>
      <c r="E168" s="237">
        <f>E169</f>
        <v>0</v>
      </c>
      <c r="F168" s="237">
        <f t="shared" ref="F168:G168" si="47">F169</f>
        <v>0</v>
      </c>
      <c r="G168" s="237">
        <f t="shared" si="47"/>
        <v>0</v>
      </c>
      <c r="H168" s="238"/>
    </row>
    <row r="169" spans="1:8" ht="25.5" x14ac:dyDescent="0.2">
      <c r="A169" s="272">
        <v>3241</v>
      </c>
      <c r="B169" s="272"/>
      <c r="C169" s="272"/>
      <c r="D169" s="239" t="s">
        <v>567</v>
      </c>
      <c r="E169" s="237"/>
      <c r="F169" s="238"/>
      <c r="G169" s="238"/>
      <c r="H169" s="238"/>
    </row>
    <row r="170" spans="1:8" x14ac:dyDescent="0.2">
      <c r="A170" s="274">
        <v>329</v>
      </c>
      <c r="B170" s="275"/>
      <c r="C170" s="276"/>
      <c r="D170" s="239" t="s">
        <v>146</v>
      </c>
      <c r="E170" s="237">
        <f>SUM(E171:E175)</f>
        <v>0</v>
      </c>
      <c r="F170" s="237">
        <f>SUM(F171:F175)</f>
        <v>0</v>
      </c>
      <c r="G170" s="237">
        <f t="shared" ref="G170" si="48">SUM(G171:G175)</f>
        <v>0</v>
      </c>
      <c r="H170" s="238"/>
    </row>
    <row r="171" spans="1:8" x14ac:dyDescent="0.2">
      <c r="A171" s="274">
        <v>3292</v>
      </c>
      <c r="B171" s="275"/>
      <c r="C171" s="276"/>
      <c r="D171" s="236" t="s">
        <v>150</v>
      </c>
      <c r="E171" s="237"/>
      <c r="F171" s="238"/>
      <c r="G171" s="238"/>
      <c r="H171" s="238"/>
    </row>
    <row r="172" spans="1:8" x14ac:dyDescent="0.2">
      <c r="A172" s="274">
        <v>3293</v>
      </c>
      <c r="B172" s="275"/>
      <c r="C172" s="276"/>
      <c r="D172" s="236" t="s">
        <v>152</v>
      </c>
      <c r="E172" s="237"/>
      <c r="F172" s="238"/>
      <c r="G172" s="238"/>
      <c r="H172" s="238"/>
    </row>
    <row r="173" spans="1:8" x14ac:dyDescent="0.2">
      <c r="A173" s="274">
        <v>3294</v>
      </c>
      <c r="B173" s="275"/>
      <c r="C173" s="276"/>
      <c r="D173" s="236" t="s">
        <v>154</v>
      </c>
      <c r="E173" s="237"/>
      <c r="F173" s="238"/>
      <c r="G173" s="238"/>
      <c r="H173" s="238"/>
    </row>
    <row r="174" spans="1:8" x14ac:dyDescent="0.2">
      <c r="A174" s="272">
        <v>3295</v>
      </c>
      <c r="B174" s="272"/>
      <c r="C174" s="272"/>
      <c r="D174" s="239" t="s">
        <v>156</v>
      </c>
      <c r="E174" s="237"/>
      <c r="F174" s="238"/>
      <c r="G174" s="238"/>
      <c r="H174" s="238"/>
    </row>
    <row r="175" spans="1:8" x14ac:dyDescent="0.2">
      <c r="A175" s="272">
        <v>3299</v>
      </c>
      <c r="B175" s="272"/>
      <c r="C175" s="272"/>
      <c r="D175" s="239" t="s">
        <v>146</v>
      </c>
      <c r="E175" s="237"/>
      <c r="F175" s="238"/>
      <c r="G175" s="238"/>
      <c r="H175" s="238"/>
    </row>
    <row r="176" spans="1:8" x14ac:dyDescent="0.2">
      <c r="A176" s="274">
        <v>34</v>
      </c>
      <c r="B176" s="275"/>
      <c r="C176" s="276"/>
      <c r="D176" s="239" t="s">
        <v>161</v>
      </c>
      <c r="E176" s="237">
        <v>2000</v>
      </c>
      <c r="F176" s="237">
        <v>2000</v>
      </c>
      <c r="G176" s="237">
        <f t="shared" ref="G176" si="49">G177</f>
        <v>0</v>
      </c>
      <c r="H176" s="238">
        <f t="shared" si="36"/>
        <v>0</v>
      </c>
    </row>
    <row r="177" spans="1:8" x14ac:dyDescent="0.2">
      <c r="A177" s="274">
        <v>343</v>
      </c>
      <c r="B177" s="275"/>
      <c r="C177" s="276"/>
      <c r="D177" s="236" t="s">
        <v>163</v>
      </c>
      <c r="E177" s="237"/>
      <c r="F177" s="237"/>
      <c r="G177" s="237">
        <f t="shared" ref="G177" si="50">G178+G179+G180</f>
        <v>0</v>
      </c>
      <c r="H177" s="238"/>
    </row>
    <row r="178" spans="1:8" x14ac:dyDescent="0.2">
      <c r="A178" s="274">
        <v>3431</v>
      </c>
      <c r="B178" s="275"/>
      <c r="C178" s="276"/>
      <c r="D178" s="236" t="s">
        <v>165</v>
      </c>
      <c r="E178" s="237"/>
      <c r="F178" s="238"/>
      <c r="G178" s="238"/>
      <c r="H178" s="238"/>
    </row>
    <row r="179" spans="1:8" ht="25.5" x14ac:dyDescent="0.2">
      <c r="A179" s="274">
        <v>3432</v>
      </c>
      <c r="B179" s="275"/>
      <c r="C179" s="276"/>
      <c r="D179" s="236" t="s">
        <v>390</v>
      </c>
      <c r="E179" s="237"/>
      <c r="F179" s="238"/>
      <c r="G179" s="238"/>
      <c r="H179" s="238"/>
    </row>
    <row r="180" spans="1:8" x14ac:dyDescent="0.2">
      <c r="A180" s="274">
        <v>3433</v>
      </c>
      <c r="B180" s="275"/>
      <c r="C180" s="276"/>
      <c r="D180" s="236" t="s">
        <v>392</v>
      </c>
      <c r="E180" s="237"/>
      <c r="F180" s="238"/>
      <c r="G180" s="238"/>
      <c r="H180" s="238"/>
    </row>
    <row r="181" spans="1:8" ht="25.5" x14ac:dyDescent="0.2">
      <c r="A181" s="274">
        <v>36</v>
      </c>
      <c r="B181" s="275"/>
      <c r="C181" s="276"/>
      <c r="D181" s="236" t="s">
        <v>176</v>
      </c>
      <c r="E181" s="237">
        <v>12400</v>
      </c>
      <c r="F181" s="237">
        <v>12400</v>
      </c>
      <c r="G181" s="237">
        <f t="shared" ref="G181:G182" si="51">G182</f>
        <v>3025.58</v>
      </c>
      <c r="H181" s="238">
        <f t="shared" si="36"/>
        <v>24.399838709677418</v>
      </c>
    </row>
    <row r="182" spans="1:8" ht="25.5" x14ac:dyDescent="0.2">
      <c r="A182" s="274">
        <v>369</v>
      </c>
      <c r="B182" s="275"/>
      <c r="C182" s="276"/>
      <c r="D182" s="236" t="s">
        <v>580</v>
      </c>
      <c r="E182" s="237"/>
      <c r="F182" s="237"/>
      <c r="G182" s="237">
        <f t="shared" si="51"/>
        <v>3025.58</v>
      </c>
      <c r="H182" s="238"/>
    </row>
    <row r="183" spans="1:8" ht="25.5" x14ac:dyDescent="0.2">
      <c r="A183" s="274">
        <v>3691</v>
      </c>
      <c r="B183" s="275"/>
      <c r="C183" s="276"/>
      <c r="D183" s="236" t="s">
        <v>198</v>
      </c>
      <c r="E183" s="237"/>
      <c r="F183" s="238"/>
      <c r="G183" s="238">
        <v>3025.58</v>
      </c>
      <c r="H183" s="238"/>
    </row>
    <row r="184" spans="1:8" ht="25.5" x14ac:dyDescent="0.2">
      <c r="A184" s="272">
        <v>37</v>
      </c>
      <c r="B184" s="272"/>
      <c r="C184" s="272"/>
      <c r="D184" s="239" t="s">
        <v>204</v>
      </c>
      <c r="E184" s="237">
        <f t="shared" ref="E184:G185" si="52">E185</f>
        <v>0</v>
      </c>
      <c r="F184" s="237">
        <f t="shared" si="52"/>
        <v>0</v>
      </c>
      <c r="G184" s="237">
        <f t="shared" si="52"/>
        <v>0</v>
      </c>
      <c r="H184" s="238"/>
    </row>
    <row r="185" spans="1:8" ht="25.5" x14ac:dyDescent="0.2">
      <c r="A185" s="272">
        <v>372</v>
      </c>
      <c r="B185" s="272"/>
      <c r="C185" s="272"/>
      <c r="D185" s="239" t="s">
        <v>206</v>
      </c>
      <c r="E185" s="237">
        <f t="shared" si="52"/>
        <v>0</v>
      </c>
      <c r="F185" s="237">
        <f t="shared" si="52"/>
        <v>0</v>
      </c>
      <c r="G185" s="237">
        <f t="shared" si="52"/>
        <v>0</v>
      </c>
      <c r="H185" s="238"/>
    </row>
    <row r="186" spans="1:8" x14ac:dyDescent="0.2">
      <c r="A186" s="272">
        <v>3721</v>
      </c>
      <c r="B186" s="272"/>
      <c r="C186" s="272"/>
      <c r="D186" s="239" t="s">
        <v>208</v>
      </c>
      <c r="E186" s="237">
        <v>0</v>
      </c>
      <c r="F186" s="237">
        <v>0</v>
      </c>
      <c r="G186" s="237">
        <v>0</v>
      </c>
      <c r="H186" s="238"/>
    </row>
    <row r="187" spans="1:8" x14ac:dyDescent="0.2">
      <c r="A187" s="240">
        <v>38</v>
      </c>
      <c r="B187" s="241"/>
      <c r="C187" s="236"/>
      <c r="D187" s="236" t="s">
        <v>574</v>
      </c>
      <c r="E187" s="237">
        <v>3000</v>
      </c>
      <c r="F187" s="237">
        <v>3000</v>
      </c>
      <c r="G187" s="237">
        <f t="shared" ref="E187:G188" si="53">G188</f>
        <v>0</v>
      </c>
      <c r="H187" s="238"/>
    </row>
    <row r="188" spans="1:8" x14ac:dyDescent="0.2">
      <c r="A188" s="240">
        <v>381</v>
      </c>
      <c r="B188" s="241"/>
      <c r="C188" s="236"/>
      <c r="D188" s="236" t="s">
        <v>212</v>
      </c>
      <c r="E188" s="237">
        <f t="shared" si="53"/>
        <v>0</v>
      </c>
      <c r="F188" s="237">
        <f t="shared" si="53"/>
        <v>0</v>
      </c>
      <c r="G188" s="237">
        <f t="shared" si="53"/>
        <v>0</v>
      </c>
      <c r="H188" s="238"/>
    </row>
    <row r="189" spans="1:8" x14ac:dyDescent="0.2">
      <c r="A189" s="240">
        <v>3811</v>
      </c>
      <c r="B189" s="241"/>
      <c r="C189" s="236"/>
      <c r="D189" s="236" t="s">
        <v>214</v>
      </c>
      <c r="E189" s="237"/>
      <c r="F189" s="237"/>
      <c r="G189" s="237">
        <v>0</v>
      </c>
      <c r="H189" s="238"/>
    </row>
    <row r="190" spans="1:8" x14ac:dyDescent="0.2">
      <c r="A190" s="272">
        <v>4</v>
      </c>
      <c r="B190" s="272"/>
      <c r="C190" s="272"/>
      <c r="D190" s="239" t="s">
        <v>227</v>
      </c>
      <c r="E190" s="237">
        <f>E191+E194</f>
        <v>30993</v>
      </c>
      <c r="F190" s="237">
        <f t="shared" ref="F190:G190" si="54">F191+F194</f>
        <v>30993</v>
      </c>
      <c r="G190" s="237">
        <f t="shared" si="54"/>
        <v>0</v>
      </c>
      <c r="H190" s="238">
        <f t="shared" si="36"/>
        <v>0</v>
      </c>
    </row>
    <row r="191" spans="1:8" ht="25.5" x14ac:dyDescent="0.2">
      <c r="A191" s="272">
        <v>41</v>
      </c>
      <c r="B191" s="272"/>
      <c r="C191" s="272"/>
      <c r="D191" s="239" t="s">
        <v>575</v>
      </c>
      <c r="E191" s="237">
        <f>E192</f>
        <v>0</v>
      </c>
      <c r="F191" s="237">
        <f t="shared" ref="F191:G192" si="55">F192</f>
        <v>0</v>
      </c>
      <c r="G191" s="237">
        <f t="shared" si="55"/>
        <v>0</v>
      </c>
      <c r="H191" s="238"/>
    </row>
    <row r="192" spans="1:8" x14ac:dyDescent="0.2">
      <c r="A192" s="274">
        <v>412</v>
      </c>
      <c r="B192" s="275"/>
      <c r="C192" s="276"/>
      <c r="D192" s="239" t="s">
        <v>230</v>
      </c>
      <c r="E192" s="237">
        <f>E193</f>
        <v>0</v>
      </c>
      <c r="F192" s="237">
        <f t="shared" si="55"/>
        <v>0</v>
      </c>
      <c r="G192" s="237">
        <f t="shared" si="55"/>
        <v>0</v>
      </c>
      <c r="H192" s="238"/>
    </row>
    <row r="193" spans="1:8" x14ac:dyDescent="0.2">
      <c r="A193" s="274">
        <v>4123</v>
      </c>
      <c r="B193" s="275"/>
      <c r="C193" s="276"/>
      <c r="D193" s="236" t="s">
        <v>232</v>
      </c>
      <c r="E193" s="237"/>
      <c r="F193" s="238"/>
      <c r="G193" s="238"/>
      <c r="H193" s="238"/>
    </row>
    <row r="194" spans="1:8" ht="25.5" x14ac:dyDescent="0.2">
      <c r="A194" s="274">
        <v>42</v>
      </c>
      <c r="B194" s="275"/>
      <c r="C194" s="276"/>
      <c r="D194" s="236" t="s">
        <v>576</v>
      </c>
      <c r="E194" s="237">
        <v>30993</v>
      </c>
      <c r="F194" s="237">
        <v>30993</v>
      </c>
      <c r="G194" s="237">
        <f t="shared" ref="G194" si="56">G195+G198+G200</f>
        <v>0</v>
      </c>
      <c r="H194" s="238">
        <f t="shared" si="36"/>
        <v>0</v>
      </c>
    </row>
    <row r="195" spans="1:8" x14ac:dyDescent="0.2">
      <c r="A195" s="274">
        <v>422</v>
      </c>
      <c r="B195" s="275"/>
      <c r="C195" s="276"/>
      <c r="D195" s="236" t="s">
        <v>240</v>
      </c>
      <c r="E195" s="237">
        <f t="shared" ref="E195:G195" si="57">E196+E197</f>
        <v>0</v>
      </c>
      <c r="F195" s="237">
        <f t="shared" si="57"/>
        <v>0</v>
      </c>
      <c r="G195" s="237">
        <f t="shared" si="57"/>
        <v>0</v>
      </c>
      <c r="H195" s="238"/>
    </row>
    <row r="196" spans="1:8" x14ac:dyDescent="0.2">
      <c r="A196" s="272">
        <v>4221</v>
      </c>
      <c r="B196" s="272"/>
      <c r="C196" s="272"/>
      <c r="D196" s="239" t="s">
        <v>242</v>
      </c>
      <c r="E196" s="237"/>
      <c r="F196" s="238"/>
      <c r="G196" s="238"/>
      <c r="H196" s="238"/>
    </row>
    <row r="197" spans="1:8" x14ac:dyDescent="0.2">
      <c r="A197" s="240">
        <v>4227</v>
      </c>
      <c r="B197" s="241"/>
      <c r="C197" s="236"/>
      <c r="D197" s="242" t="s">
        <v>577</v>
      </c>
      <c r="E197" s="237"/>
      <c r="F197" s="238"/>
      <c r="G197" s="237"/>
      <c r="H197" s="238"/>
    </row>
    <row r="198" spans="1:8" ht="25.5" x14ac:dyDescent="0.2">
      <c r="A198" s="274">
        <v>424</v>
      </c>
      <c r="B198" s="275"/>
      <c r="C198" s="276"/>
      <c r="D198" s="236" t="s">
        <v>449</v>
      </c>
      <c r="E198" s="237">
        <f>E199</f>
        <v>0</v>
      </c>
      <c r="F198" s="237">
        <f t="shared" ref="F198:G198" si="58">F199</f>
        <v>0</v>
      </c>
      <c r="G198" s="237">
        <f t="shared" si="58"/>
        <v>0</v>
      </c>
      <c r="H198" s="238"/>
    </row>
    <row r="199" spans="1:8" x14ac:dyDescent="0.2">
      <c r="A199" s="274">
        <v>4241</v>
      </c>
      <c r="B199" s="275"/>
      <c r="C199" s="276"/>
      <c r="D199" s="236" t="s">
        <v>569</v>
      </c>
      <c r="E199" s="237"/>
      <c r="F199" s="238"/>
      <c r="G199" s="238"/>
      <c r="H199" s="238"/>
    </row>
    <row r="200" spans="1:8" x14ac:dyDescent="0.2">
      <c r="A200" s="274">
        <v>426</v>
      </c>
      <c r="B200" s="275"/>
      <c r="C200" s="276"/>
      <c r="D200" s="236" t="s">
        <v>246</v>
      </c>
      <c r="E200" s="237">
        <f>E201</f>
        <v>0</v>
      </c>
      <c r="F200" s="237">
        <f t="shared" ref="F200:G200" si="59">F201</f>
        <v>0</v>
      </c>
      <c r="G200" s="237">
        <f t="shared" si="59"/>
        <v>0</v>
      </c>
      <c r="H200" s="238"/>
    </row>
    <row r="201" spans="1:8" x14ac:dyDescent="0.2">
      <c r="A201" s="272">
        <v>4262</v>
      </c>
      <c r="B201" s="272"/>
      <c r="C201" s="272"/>
      <c r="D201" s="239" t="s">
        <v>248</v>
      </c>
      <c r="E201" s="237"/>
      <c r="F201" s="238"/>
      <c r="G201" s="238"/>
      <c r="H201" s="238"/>
    </row>
    <row r="202" spans="1:8" x14ac:dyDescent="0.2">
      <c r="A202" s="280" t="s">
        <v>601</v>
      </c>
      <c r="B202" s="280"/>
      <c r="C202" s="280"/>
      <c r="D202" s="233" t="s">
        <v>76</v>
      </c>
      <c r="E202" s="234">
        <f>+E204+E211</f>
        <v>0</v>
      </c>
      <c r="F202" s="234">
        <f>+F204+F211</f>
        <v>0</v>
      </c>
      <c r="G202" s="234">
        <f>+G203+G240</f>
        <v>4294.21</v>
      </c>
      <c r="H202" s="235"/>
    </row>
    <row r="203" spans="1:8" x14ac:dyDescent="0.2">
      <c r="A203" s="274">
        <v>3</v>
      </c>
      <c r="B203" s="275"/>
      <c r="C203" s="276"/>
      <c r="D203" s="236" t="s">
        <v>82</v>
      </c>
      <c r="E203" s="237">
        <f>E204+E211+E237</f>
        <v>0</v>
      </c>
      <c r="F203" s="237">
        <f t="shared" ref="F203" si="60">F204+F211+F237</f>
        <v>0</v>
      </c>
      <c r="G203" s="237">
        <f>G204+G211+G237</f>
        <v>4294.21</v>
      </c>
      <c r="H203" s="238"/>
    </row>
    <row r="204" spans="1:8" x14ac:dyDescent="0.2">
      <c r="A204" s="274">
        <v>31</v>
      </c>
      <c r="B204" s="275"/>
      <c r="C204" s="276"/>
      <c r="D204" s="236" t="s">
        <v>84</v>
      </c>
      <c r="E204" s="237">
        <f>E205+E207+E209</f>
        <v>0</v>
      </c>
      <c r="F204" s="237">
        <f t="shared" ref="F204" si="61">F205+F207+F209</f>
        <v>0</v>
      </c>
      <c r="G204" s="237">
        <f>G205+G207+G209</f>
        <v>0</v>
      </c>
      <c r="H204" s="238"/>
    </row>
    <row r="205" spans="1:8" x14ac:dyDescent="0.2">
      <c r="A205" s="274">
        <v>311</v>
      </c>
      <c r="B205" s="275"/>
      <c r="C205" s="276"/>
      <c r="D205" s="236" t="s">
        <v>86</v>
      </c>
      <c r="E205" s="237">
        <f>E206</f>
        <v>0</v>
      </c>
      <c r="F205" s="237">
        <f t="shared" ref="F205" si="62">F206</f>
        <v>0</v>
      </c>
      <c r="G205" s="237">
        <f>G206</f>
        <v>0</v>
      </c>
      <c r="H205" s="238"/>
    </row>
    <row r="206" spans="1:8" x14ac:dyDescent="0.2">
      <c r="A206" s="272">
        <v>3111</v>
      </c>
      <c r="B206" s="272"/>
      <c r="C206" s="272"/>
      <c r="D206" s="239" t="s">
        <v>88</v>
      </c>
      <c r="E206" s="237"/>
      <c r="F206" s="238"/>
      <c r="G206" s="238"/>
      <c r="H206" s="238"/>
    </row>
    <row r="207" spans="1:8" x14ac:dyDescent="0.2">
      <c r="A207" s="281">
        <v>312</v>
      </c>
      <c r="B207" s="282"/>
      <c r="C207" s="283"/>
      <c r="D207" s="239" t="s">
        <v>92</v>
      </c>
      <c r="E207" s="237">
        <f>E208</f>
        <v>0</v>
      </c>
      <c r="F207" s="237">
        <f t="shared" ref="F207:G207" si="63">F208</f>
        <v>0</v>
      </c>
      <c r="G207" s="237">
        <f t="shared" si="63"/>
        <v>0</v>
      </c>
      <c r="H207" s="238"/>
    </row>
    <row r="208" spans="1:8" x14ac:dyDescent="0.2">
      <c r="A208" s="281">
        <v>3121</v>
      </c>
      <c r="B208" s="282"/>
      <c r="C208" s="283"/>
      <c r="D208" s="239" t="s">
        <v>92</v>
      </c>
      <c r="E208" s="237"/>
      <c r="F208" s="238"/>
      <c r="G208" s="238"/>
      <c r="H208" s="238"/>
    </row>
    <row r="209" spans="1:8" x14ac:dyDescent="0.2">
      <c r="A209" s="272">
        <v>313</v>
      </c>
      <c r="B209" s="272"/>
      <c r="C209" s="272"/>
      <c r="D209" s="239" t="s">
        <v>95</v>
      </c>
      <c r="E209" s="237">
        <f>E210</f>
        <v>0</v>
      </c>
      <c r="F209" s="237">
        <f>F210</f>
        <v>0</v>
      </c>
      <c r="G209" s="237">
        <f t="shared" ref="G209" si="64">G210</f>
        <v>0</v>
      </c>
      <c r="H209" s="238"/>
    </row>
    <row r="210" spans="1:8" x14ac:dyDescent="0.2">
      <c r="A210" s="274">
        <v>3132</v>
      </c>
      <c r="B210" s="275"/>
      <c r="C210" s="276"/>
      <c r="D210" s="239" t="s">
        <v>563</v>
      </c>
      <c r="E210" s="237"/>
      <c r="F210" s="238"/>
      <c r="G210" s="238"/>
      <c r="H210" s="238"/>
    </row>
    <row r="211" spans="1:8" x14ac:dyDescent="0.2">
      <c r="A211" s="274">
        <v>32</v>
      </c>
      <c r="B211" s="275"/>
      <c r="C211" s="276"/>
      <c r="D211" s="236" t="s">
        <v>99</v>
      </c>
      <c r="E211" s="237">
        <f>E212+E217+E223+E231+E233</f>
        <v>0</v>
      </c>
      <c r="F211" s="237">
        <f t="shared" ref="F211" si="65">F212+F217+F223+F231+F233</f>
        <v>0</v>
      </c>
      <c r="G211" s="237">
        <f>G212+G217+G223+G231+G233</f>
        <v>4294.21</v>
      </c>
      <c r="H211" s="238"/>
    </row>
    <row r="212" spans="1:8" x14ac:dyDescent="0.2">
      <c r="A212" s="274">
        <v>321</v>
      </c>
      <c r="B212" s="275"/>
      <c r="C212" s="276"/>
      <c r="D212" s="236" t="s">
        <v>570</v>
      </c>
      <c r="E212" s="237">
        <f>SUM(E213:E216)</f>
        <v>0</v>
      </c>
      <c r="F212" s="237">
        <f t="shared" ref="F212" si="66">SUM(F213:F216)</f>
        <v>0</v>
      </c>
      <c r="G212" s="237">
        <f>SUM(G213:G216)</f>
        <v>0</v>
      </c>
      <c r="H212" s="238"/>
    </row>
    <row r="213" spans="1:8" x14ac:dyDescent="0.2">
      <c r="A213" s="272">
        <v>3211</v>
      </c>
      <c r="B213" s="272"/>
      <c r="C213" s="272"/>
      <c r="D213" s="239" t="s">
        <v>103</v>
      </c>
      <c r="E213" s="237"/>
      <c r="F213" s="238"/>
      <c r="G213" s="238"/>
      <c r="H213" s="238"/>
    </row>
    <row r="214" spans="1:8" ht="25.5" x14ac:dyDescent="0.2">
      <c r="A214" s="272">
        <v>3212</v>
      </c>
      <c r="B214" s="272"/>
      <c r="C214" s="272"/>
      <c r="D214" s="239" t="s">
        <v>572</v>
      </c>
      <c r="E214" s="237"/>
      <c r="F214" s="238"/>
      <c r="G214" s="238"/>
      <c r="H214" s="238"/>
    </row>
    <row r="215" spans="1:8" x14ac:dyDescent="0.2">
      <c r="A215" s="272">
        <v>3213</v>
      </c>
      <c r="B215" s="272"/>
      <c r="C215" s="272"/>
      <c r="D215" s="239" t="s">
        <v>107</v>
      </c>
      <c r="E215" s="237"/>
      <c r="F215" s="238"/>
      <c r="G215" s="238"/>
      <c r="H215" s="238"/>
    </row>
    <row r="216" spans="1:8" x14ac:dyDescent="0.2">
      <c r="A216" s="272">
        <v>3214</v>
      </c>
      <c r="B216" s="272"/>
      <c r="C216" s="272"/>
      <c r="D216" s="239" t="s">
        <v>109</v>
      </c>
      <c r="E216" s="237"/>
      <c r="F216" s="238"/>
      <c r="G216" s="238"/>
      <c r="H216" s="238"/>
    </row>
    <row r="217" spans="1:8" x14ac:dyDescent="0.2">
      <c r="A217" s="274">
        <v>322</v>
      </c>
      <c r="B217" s="275"/>
      <c r="C217" s="276"/>
      <c r="D217" s="239" t="s">
        <v>111</v>
      </c>
      <c r="E217" s="237">
        <f>SUM(E218:E222)</f>
        <v>0</v>
      </c>
      <c r="F217" s="237">
        <f t="shared" ref="F217" si="67">SUM(F218:F222)</f>
        <v>0</v>
      </c>
      <c r="G217" s="237">
        <f>SUM(G218:G222)</f>
        <v>0</v>
      </c>
      <c r="H217" s="238"/>
    </row>
    <row r="218" spans="1:8" x14ac:dyDescent="0.2">
      <c r="A218" s="274">
        <v>3221</v>
      </c>
      <c r="B218" s="275"/>
      <c r="C218" s="276"/>
      <c r="D218" s="236" t="s">
        <v>113</v>
      </c>
      <c r="E218" s="237"/>
      <c r="F218" s="238"/>
      <c r="G218" s="238"/>
      <c r="H218" s="238"/>
    </row>
    <row r="219" spans="1:8" x14ac:dyDescent="0.2">
      <c r="A219" s="274">
        <v>3222</v>
      </c>
      <c r="B219" s="275"/>
      <c r="C219" s="276"/>
      <c r="D219" s="236" t="s">
        <v>382</v>
      </c>
      <c r="E219" s="237"/>
      <c r="F219" s="238"/>
      <c r="G219" s="238"/>
      <c r="H219" s="238"/>
    </row>
    <row r="220" spans="1:8" ht="25.5" x14ac:dyDescent="0.2">
      <c r="A220" s="274">
        <v>3224</v>
      </c>
      <c r="B220" s="275"/>
      <c r="C220" s="276"/>
      <c r="D220" s="236" t="s">
        <v>117</v>
      </c>
      <c r="E220" s="237"/>
      <c r="F220" s="238"/>
      <c r="G220" s="238"/>
      <c r="H220" s="238"/>
    </row>
    <row r="221" spans="1:8" x14ac:dyDescent="0.2">
      <c r="A221" s="274">
        <v>3225</v>
      </c>
      <c r="B221" s="275"/>
      <c r="C221" s="276"/>
      <c r="D221" s="236" t="s">
        <v>564</v>
      </c>
      <c r="E221" s="237"/>
      <c r="F221" s="238"/>
      <c r="G221" s="238"/>
      <c r="H221" s="238"/>
    </row>
    <row r="222" spans="1:8" x14ac:dyDescent="0.2">
      <c r="A222" s="274">
        <v>3227</v>
      </c>
      <c r="B222" s="275"/>
      <c r="C222" s="276"/>
      <c r="D222" s="236" t="s">
        <v>121</v>
      </c>
      <c r="E222" s="237"/>
      <c r="F222" s="238"/>
      <c r="G222" s="238"/>
      <c r="H222" s="238"/>
    </row>
    <row r="223" spans="1:8" x14ac:dyDescent="0.2">
      <c r="A223" s="274">
        <v>323</v>
      </c>
      <c r="B223" s="275"/>
      <c r="C223" s="276"/>
      <c r="D223" s="239" t="s">
        <v>123</v>
      </c>
      <c r="E223" s="237">
        <f>SUM(E224:E230)</f>
        <v>0</v>
      </c>
      <c r="F223" s="237">
        <f t="shared" ref="F223" si="68">SUM(F224:F230)</f>
        <v>0</v>
      </c>
      <c r="G223" s="237">
        <f>SUM(G224:G230)</f>
        <v>4294.21</v>
      </c>
      <c r="H223" s="238"/>
    </row>
    <row r="224" spans="1:8" x14ac:dyDescent="0.2">
      <c r="A224" s="274">
        <v>3231</v>
      </c>
      <c r="B224" s="275"/>
      <c r="C224" s="276"/>
      <c r="D224" s="242" t="s">
        <v>125</v>
      </c>
      <c r="E224" s="237"/>
      <c r="F224" s="238"/>
      <c r="G224" s="238"/>
      <c r="H224" s="238"/>
    </row>
    <row r="225" spans="1:8" x14ac:dyDescent="0.2">
      <c r="A225" s="274">
        <v>3232</v>
      </c>
      <c r="B225" s="275"/>
      <c r="C225" s="276"/>
      <c r="D225" s="242" t="s">
        <v>127</v>
      </c>
      <c r="E225" s="237"/>
      <c r="F225" s="238"/>
      <c r="G225" s="238"/>
      <c r="H225" s="238"/>
    </row>
    <row r="226" spans="1:8" x14ac:dyDescent="0.2">
      <c r="A226" s="274">
        <v>3233</v>
      </c>
      <c r="B226" s="275"/>
      <c r="C226" s="276"/>
      <c r="D226" s="236" t="s">
        <v>129</v>
      </c>
      <c r="E226" s="237"/>
      <c r="F226" s="238"/>
      <c r="G226" s="238"/>
      <c r="H226" s="238"/>
    </row>
    <row r="227" spans="1:8" x14ac:dyDescent="0.2">
      <c r="A227" s="274">
        <v>3235</v>
      </c>
      <c r="B227" s="275"/>
      <c r="C227" s="276"/>
      <c r="D227" s="236" t="s">
        <v>133</v>
      </c>
      <c r="E227" s="237"/>
      <c r="F227" s="238"/>
      <c r="G227" s="238">
        <v>82.05</v>
      </c>
      <c r="H227" s="238"/>
    </row>
    <row r="228" spans="1:8" x14ac:dyDescent="0.2">
      <c r="A228" s="274">
        <v>3237</v>
      </c>
      <c r="B228" s="275"/>
      <c r="C228" s="276"/>
      <c r="D228" s="236" t="s">
        <v>137</v>
      </c>
      <c r="E228" s="237"/>
      <c r="F228" s="238"/>
      <c r="G228" s="238">
        <v>3728.41</v>
      </c>
      <c r="H228" s="238"/>
    </row>
    <row r="229" spans="1:8" x14ac:dyDescent="0.2">
      <c r="A229" s="240">
        <v>3238</v>
      </c>
      <c r="B229" s="241"/>
      <c r="C229" s="236"/>
      <c r="D229" s="236" t="s">
        <v>139</v>
      </c>
      <c r="E229" s="237"/>
      <c r="F229" s="238"/>
      <c r="G229" s="238">
        <v>300</v>
      </c>
      <c r="H229" s="238"/>
    </row>
    <row r="230" spans="1:8" x14ac:dyDescent="0.2">
      <c r="A230" s="274">
        <v>3239</v>
      </c>
      <c r="B230" s="275"/>
      <c r="C230" s="276"/>
      <c r="D230" s="236" t="s">
        <v>141</v>
      </c>
      <c r="E230" s="237"/>
      <c r="F230" s="238"/>
      <c r="G230" s="238">
        <v>183.75</v>
      </c>
      <c r="H230" s="238"/>
    </row>
    <row r="231" spans="1:8" ht="25.5" x14ac:dyDescent="0.2">
      <c r="A231" s="272">
        <v>324</v>
      </c>
      <c r="B231" s="272"/>
      <c r="C231" s="272"/>
      <c r="D231" s="239" t="s">
        <v>567</v>
      </c>
      <c r="E231" s="237">
        <f>E232</f>
        <v>0</v>
      </c>
      <c r="F231" s="237">
        <f t="shared" ref="F231:G231" si="69">F232</f>
        <v>0</v>
      </c>
      <c r="G231" s="237">
        <f t="shared" si="69"/>
        <v>0</v>
      </c>
      <c r="H231" s="238"/>
    </row>
    <row r="232" spans="1:8" ht="25.5" x14ac:dyDescent="0.2">
      <c r="A232" s="272">
        <v>3241</v>
      </c>
      <c r="B232" s="272"/>
      <c r="C232" s="272"/>
      <c r="D232" s="239" t="s">
        <v>567</v>
      </c>
      <c r="E232" s="237"/>
      <c r="F232" s="238"/>
      <c r="G232" s="238"/>
      <c r="H232" s="238"/>
    </row>
    <row r="233" spans="1:8" x14ac:dyDescent="0.2">
      <c r="A233" s="274">
        <v>329</v>
      </c>
      <c r="B233" s="275"/>
      <c r="C233" s="276"/>
      <c r="D233" s="239" t="s">
        <v>146</v>
      </c>
      <c r="E233" s="237">
        <f t="shared" ref="E233:F233" si="70">SUM(E234:E236)</f>
        <v>0</v>
      </c>
      <c r="F233" s="237">
        <f t="shared" si="70"/>
        <v>0</v>
      </c>
      <c r="G233" s="237">
        <f>SUM(G234:G236)</f>
        <v>0</v>
      </c>
      <c r="H233" s="238"/>
    </row>
    <row r="234" spans="1:8" x14ac:dyDescent="0.2">
      <c r="A234" s="240">
        <v>3293</v>
      </c>
      <c r="B234" s="241"/>
      <c r="C234" s="236"/>
      <c r="D234" s="242" t="s">
        <v>152</v>
      </c>
      <c r="E234" s="237"/>
      <c r="F234" s="237"/>
      <c r="G234" s="237"/>
      <c r="H234" s="238"/>
    </row>
    <row r="235" spans="1:8" x14ac:dyDescent="0.2">
      <c r="A235" s="274">
        <v>3294</v>
      </c>
      <c r="B235" s="275"/>
      <c r="C235" s="276"/>
      <c r="D235" s="236" t="s">
        <v>154</v>
      </c>
      <c r="E235" s="237"/>
      <c r="F235" s="237"/>
      <c r="G235" s="238"/>
      <c r="H235" s="238"/>
    </row>
    <row r="236" spans="1:8" x14ac:dyDescent="0.2">
      <c r="A236" s="272">
        <v>3299</v>
      </c>
      <c r="B236" s="272"/>
      <c r="C236" s="272"/>
      <c r="D236" s="239" t="s">
        <v>146</v>
      </c>
      <c r="E236" s="237"/>
      <c r="F236" s="237"/>
      <c r="G236" s="238"/>
      <c r="H236" s="238"/>
    </row>
    <row r="237" spans="1:8" ht="25.5" x14ac:dyDescent="0.2">
      <c r="A237" s="272">
        <v>37</v>
      </c>
      <c r="B237" s="272"/>
      <c r="C237" s="272"/>
      <c r="D237" s="239" t="s">
        <v>204</v>
      </c>
      <c r="E237" s="237">
        <f>E238</f>
        <v>0</v>
      </c>
      <c r="F237" s="237">
        <f t="shared" ref="F237:G238" si="71">F238</f>
        <v>0</v>
      </c>
      <c r="G237" s="237">
        <f t="shared" si="71"/>
        <v>0</v>
      </c>
      <c r="H237" s="238"/>
    </row>
    <row r="238" spans="1:8" ht="25.5" x14ac:dyDescent="0.2">
      <c r="A238" s="272">
        <v>372</v>
      </c>
      <c r="B238" s="272"/>
      <c r="C238" s="272"/>
      <c r="D238" s="239" t="s">
        <v>206</v>
      </c>
      <c r="E238" s="237">
        <f>E239</f>
        <v>0</v>
      </c>
      <c r="F238" s="237">
        <f t="shared" si="71"/>
        <v>0</v>
      </c>
      <c r="G238" s="237">
        <f t="shared" si="71"/>
        <v>0</v>
      </c>
      <c r="H238" s="238"/>
    </row>
    <row r="239" spans="1:8" x14ac:dyDescent="0.2">
      <c r="A239" s="272">
        <v>3721</v>
      </c>
      <c r="B239" s="272"/>
      <c r="C239" s="272"/>
      <c r="D239" s="239" t="s">
        <v>208</v>
      </c>
      <c r="E239" s="237"/>
      <c r="F239" s="238"/>
      <c r="G239" s="238"/>
      <c r="H239" s="238"/>
    </row>
    <row r="240" spans="1:8" x14ac:dyDescent="0.2">
      <c r="A240" s="272">
        <v>4</v>
      </c>
      <c r="B240" s="272"/>
      <c r="C240" s="272"/>
      <c r="D240" s="239" t="s">
        <v>227</v>
      </c>
      <c r="E240" s="237">
        <f>E241+E244</f>
        <v>0</v>
      </c>
      <c r="F240" s="237">
        <f t="shared" ref="F240:G240" si="72">F241+F244</f>
        <v>0</v>
      </c>
      <c r="G240" s="237">
        <f t="shared" si="72"/>
        <v>0</v>
      </c>
      <c r="H240" s="238"/>
    </row>
    <row r="241" spans="1:8" ht="25.5" x14ac:dyDescent="0.2">
      <c r="A241" s="272">
        <v>41</v>
      </c>
      <c r="B241" s="272"/>
      <c r="C241" s="272"/>
      <c r="D241" s="239" t="s">
        <v>575</v>
      </c>
      <c r="E241" s="237">
        <f>E242</f>
        <v>0</v>
      </c>
      <c r="F241" s="237">
        <f t="shared" ref="F241:G242" si="73">F242</f>
        <v>0</v>
      </c>
      <c r="G241" s="237">
        <f t="shared" si="73"/>
        <v>0</v>
      </c>
      <c r="H241" s="238"/>
    </row>
    <row r="242" spans="1:8" x14ac:dyDescent="0.2">
      <c r="A242" s="274">
        <v>412</v>
      </c>
      <c r="B242" s="275"/>
      <c r="C242" s="276"/>
      <c r="D242" s="239" t="s">
        <v>230</v>
      </c>
      <c r="E242" s="237">
        <f>E243</f>
        <v>0</v>
      </c>
      <c r="F242" s="237">
        <f t="shared" si="73"/>
        <v>0</v>
      </c>
      <c r="G242" s="237">
        <f t="shared" si="73"/>
        <v>0</v>
      </c>
      <c r="H242" s="238"/>
    </row>
    <row r="243" spans="1:8" x14ac:dyDescent="0.2">
      <c r="A243" s="274">
        <v>4123</v>
      </c>
      <c r="B243" s="275"/>
      <c r="C243" s="276"/>
      <c r="D243" s="236" t="s">
        <v>232</v>
      </c>
      <c r="E243" s="237"/>
      <c r="F243" s="238"/>
      <c r="G243" s="238"/>
      <c r="H243" s="238"/>
    </row>
    <row r="244" spans="1:8" ht="25.5" x14ac:dyDescent="0.2">
      <c r="A244" s="274">
        <v>42</v>
      </c>
      <c r="B244" s="275"/>
      <c r="C244" s="276"/>
      <c r="D244" s="236" t="s">
        <v>234</v>
      </c>
      <c r="E244" s="237">
        <f>E245+E250</f>
        <v>0</v>
      </c>
      <c r="F244" s="237">
        <f t="shared" ref="F244" si="74">F245+F250</f>
        <v>0</v>
      </c>
      <c r="G244" s="237">
        <f>G245+G250</f>
        <v>0</v>
      </c>
      <c r="H244" s="238"/>
    </row>
    <row r="245" spans="1:8" x14ac:dyDescent="0.2">
      <c r="A245" s="274">
        <v>422</v>
      </c>
      <c r="B245" s="275"/>
      <c r="C245" s="276"/>
      <c r="D245" s="236" t="s">
        <v>240</v>
      </c>
      <c r="E245" s="237">
        <f t="shared" ref="E245:F245" si="75">E246+E249+E248+E247</f>
        <v>0</v>
      </c>
      <c r="F245" s="237">
        <f t="shared" si="75"/>
        <v>0</v>
      </c>
      <c r="G245" s="237">
        <f>G246+G249+G248+G247</f>
        <v>0</v>
      </c>
      <c r="H245" s="238"/>
    </row>
    <row r="246" spans="1:8" x14ac:dyDescent="0.2">
      <c r="A246" s="272">
        <v>4221</v>
      </c>
      <c r="B246" s="272"/>
      <c r="C246" s="272"/>
      <c r="D246" s="239" t="s">
        <v>242</v>
      </c>
      <c r="E246" s="237"/>
      <c r="F246" s="238"/>
      <c r="G246" s="238"/>
      <c r="H246" s="238"/>
    </row>
    <row r="247" spans="1:8" x14ac:dyDescent="0.2">
      <c r="A247" s="240">
        <v>4222</v>
      </c>
      <c r="B247" s="241"/>
      <c r="C247" s="236"/>
      <c r="D247" s="239" t="s">
        <v>437</v>
      </c>
      <c r="E247" s="237"/>
      <c r="F247" s="238"/>
      <c r="G247" s="238"/>
      <c r="H247" s="238"/>
    </row>
    <row r="248" spans="1:8" x14ac:dyDescent="0.2">
      <c r="A248" s="274">
        <v>4224</v>
      </c>
      <c r="B248" s="275"/>
      <c r="C248" s="276"/>
      <c r="D248" s="239" t="s">
        <v>244</v>
      </c>
      <c r="E248" s="237"/>
      <c r="F248" s="238"/>
      <c r="G248" s="238"/>
      <c r="H248" s="238"/>
    </row>
    <row r="249" spans="1:8" x14ac:dyDescent="0.2">
      <c r="A249" s="272">
        <v>4225</v>
      </c>
      <c r="B249" s="272"/>
      <c r="C249" s="272"/>
      <c r="D249" s="239" t="s">
        <v>441</v>
      </c>
      <c r="E249" s="237"/>
      <c r="F249" s="238"/>
      <c r="G249" s="238"/>
      <c r="H249" s="238"/>
    </row>
    <row r="250" spans="1:8" ht="25.5" x14ac:dyDescent="0.2">
      <c r="A250" s="272">
        <v>424</v>
      </c>
      <c r="B250" s="272"/>
      <c r="C250" s="272"/>
      <c r="D250" s="239" t="s">
        <v>449</v>
      </c>
      <c r="E250" s="237">
        <f>E251</f>
        <v>0</v>
      </c>
      <c r="F250" s="237">
        <f t="shared" ref="F250:G250" si="76">F251</f>
        <v>0</v>
      </c>
      <c r="G250" s="237">
        <f t="shared" si="76"/>
        <v>0</v>
      </c>
      <c r="H250" s="238"/>
    </row>
    <row r="251" spans="1:8" x14ac:dyDescent="0.2">
      <c r="A251" s="272">
        <v>4241</v>
      </c>
      <c r="B251" s="272"/>
      <c r="C251" s="272"/>
      <c r="D251" s="239" t="s">
        <v>451</v>
      </c>
      <c r="E251" s="237"/>
      <c r="F251" s="238"/>
      <c r="G251" s="238"/>
      <c r="H251" s="238"/>
    </row>
    <row r="252" spans="1:8" ht="25.5" x14ac:dyDescent="0.2">
      <c r="A252" s="280" t="s">
        <v>602</v>
      </c>
      <c r="B252" s="280"/>
      <c r="C252" s="280"/>
      <c r="D252" s="233" t="s">
        <v>587</v>
      </c>
      <c r="E252" s="234">
        <f>E253+E296</f>
        <v>188624</v>
      </c>
      <c r="F252" s="234">
        <f t="shared" ref="F252" si="77">F253+F296</f>
        <v>188624</v>
      </c>
      <c r="G252" s="234">
        <f>G253+G296</f>
        <v>165178.12</v>
      </c>
      <c r="H252" s="235">
        <f t="shared" ref="H252:H254" si="78">G252/F252*100</f>
        <v>87.570044108915084</v>
      </c>
    </row>
    <row r="253" spans="1:8" x14ac:dyDescent="0.2">
      <c r="A253" s="274">
        <v>3</v>
      </c>
      <c r="B253" s="275"/>
      <c r="C253" s="276"/>
      <c r="D253" s="236" t="s">
        <v>82</v>
      </c>
      <c r="E253" s="237">
        <f>E254+E261+E290</f>
        <v>188624</v>
      </c>
      <c r="F253" s="237">
        <f t="shared" ref="F253" si="79">F254+F261+F290</f>
        <v>188624</v>
      </c>
      <c r="G253" s="237">
        <f>G254+G261+G290+G287+G293</f>
        <v>159988.15</v>
      </c>
      <c r="H253" s="238">
        <f t="shared" si="78"/>
        <v>84.818554372720328</v>
      </c>
    </row>
    <row r="254" spans="1:8" x14ac:dyDescent="0.2">
      <c r="A254" s="274">
        <v>31</v>
      </c>
      <c r="B254" s="275"/>
      <c r="C254" s="276"/>
      <c r="D254" s="236" t="s">
        <v>84</v>
      </c>
      <c r="E254" s="237">
        <v>104250</v>
      </c>
      <c r="F254" s="237">
        <v>104250</v>
      </c>
      <c r="G254" s="237">
        <f>G255+G257+G259</f>
        <v>77775.7</v>
      </c>
      <c r="H254" s="238">
        <f t="shared" si="78"/>
        <v>74.604988009592319</v>
      </c>
    </row>
    <row r="255" spans="1:8" x14ac:dyDescent="0.2">
      <c r="A255" s="274">
        <v>311</v>
      </c>
      <c r="B255" s="275"/>
      <c r="C255" s="276"/>
      <c r="D255" s="236" t="s">
        <v>86</v>
      </c>
      <c r="E255" s="237">
        <f>E256</f>
        <v>0</v>
      </c>
      <c r="F255" s="237">
        <f t="shared" ref="F255" si="80">F256</f>
        <v>0</v>
      </c>
      <c r="G255" s="237">
        <f>G256</f>
        <v>64528.5</v>
      </c>
      <c r="H255" s="238"/>
    </row>
    <row r="256" spans="1:8" x14ac:dyDescent="0.2">
      <c r="A256" s="272">
        <v>3111</v>
      </c>
      <c r="B256" s="272"/>
      <c r="C256" s="272"/>
      <c r="D256" s="239" t="s">
        <v>88</v>
      </c>
      <c r="E256" s="237"/>
      <c r="F256" s="238"/>
      <c r="G256" s="238">
        <f>55930.72+8597.78</f>
        <v>64528.5</v>
      </c>
      <c r="H256" s="238"/>
    </row>
    <row r="257" spans="1:8" x14ac:dyDescent="0.2">
      <c r="A257" s="281">
        <v>312</v>
      </c>
      <c r="B257" s="282"/>
      <c r="C257" s="283"/>
      <c r="D257" s="239" t="s">
        <v>92</v>
      </c>
      <c r="E257" s="237">
        <f>E258</f>
        <v>0</v>
      </c>
      <c r="F257" s="237">
        <f t="shared" ref="F257:G257" si="81">F258</f>
        <v>0</v>
      </c>
      <c r="G257" s="237">
        <f t="shared" si="81"/>
        <v>2600</v>
      </c>
      <c r="H257" s="238"/>
    </row>
    <row r="258" spans="1:8" x14ac:dyDescent="0.2">
      <c r="A258" s="281">
        <v>3121</v>
      </c>
      <c r="B258" s="282"/>
      <c r="C258" s="283"/>
      <c r="D258" s="239" t="s">
        <v>92</v>
      </c>
      <c r="E258" s="237"/>
      <c r="F258" s="238"/>
      <c r="G258" s="238">
        <f>800+1800</f>
        <v>2600</v>
      </c>
      <c r="H258" s="238"/>
    </row>
    <row r="259" spans="1:8" x14ac:dyDescent="0.2">
      <c r="A259" s="272">
        <v>313</v>
      </c>
      <c r="B259" s="272"/>
      <c r="C259" s="272"/>
      <c r="D259" s="239" t="s">
        <v>95</v>
      </c>
      <c r="E259" s="237">
        <f>E260</f>
        <v>0</v>
      </c>
      <c r="F259" s="237">
        <f>F260</f>
        <v>0</v>
      </c>
      <c r="G259" s="237">
        <f t="shared" ref="G259" si="82">G260</f>
        <v>10647.2</v>
      </c>
      <c r="H259" s="238"/>
    </row>
    <row r="260" spans="1:8" x14ac:dyDescent="0.2">
      <c r="A260" s="274">
        <v>3132</v>
      </c>
      <c r="B260" s="275"/>
      <c r="C260" s="276"/>
      <c r="D260" s="239" t="s">
        <v>563</v>
      </c>
      <c r="E260" s="237"/>
      <c r="F260" s="238"/>
      <c r="G260" s="238">
        <f>9228.59+1418.61</f>
        <v>10647.2</v>
      </c>
      <c r="H260" s="238"/>
    </row>
    <row r="261" spans="1:8" x14ac:dyDescent="0.2">
      <c r="A261" s="274">
        <v>32</v>
      </c>
      <c r="B261" s="275"/>
      <c r="C261" s="276"/>
      <c r="D261" s="236" t="s">
        <v>99</v>
      </c>
      <c r="E261" s="237">
        <v>69874</v>
      </c>
      <c r="F261" s="237">
        <v>69874</v>
      </c>
      <c r="G261" s="237">
        <f>G262+G267+G273+G281+G283</f>
        <v>67546.16</v>
      </c>
      <c r="H261" s="238">
        <f t="shared" ref="H261:H290" si="83">G261/F261*100</f>
        <v>96.66851761742565</v>
      </c>
    </row>
    <row r="262" spans="1:8" x14ac:dyDescent="0.2">
      <c r="A262" s="274">
        <v>321</v>
      </c>
      <c r="B262" s="275"/>
      <c r="C262" s="276"/>
      <c r="D262" s="236" t="s">
        <v>570</v>
      </c>
      <c r="E262" s="237">
        <f>SUM(E263:E266)</f>
        <v>0</v>
      </c>
      <c r="F262" s="237">
        <f t="shared" ref="F262" si="84">SUM(F263:F266)</f>
        <v>0</v>
      </c>
      <c r="G262" s="237">
        <f>SUM(G263:G266)</f>
        <v>25243.530000000002</v>
      </c>
      <c r="H262" s="238"/>
    </row>
    <row r="263" spans="1:8" x14ac:dyDescent="0.2">
      <c r="A263" s="272">
        <v>3211</v>
      </c>
      <c r="B263" s="272"/>
      <c r="C263" s="272"/>
      <c r="D263" s="239" t="s">
        <v>103</v>
      </c>
      <c r="E263" s="237"/>
      <c r="F263" s="238"/>
      <c r="G263" s="238">
        <f>210+183+3548.52+784.97+87.86+360+6095.67+1497.99+582.25+302.8+3911.53+3617.33+150.72+260.47</f>
        <v>21593.11</v>
      </c>
      <c r="H263" s="238"/>
    </row>
    <row r="264" spans="1:8" ht="25.5" x14ac:dyDescent="0.2">
      <c r="A264" s="272">
        <v>3212</v>
      </c>
      <c r="B264" s="272"/>
      <c r="C264" s="272"/>
      <c r="D264" s="239" t="s">
        <v>572</v>
      </c>
      <c r="E264" s="237"/>
      <c r="F264" s="238"/>
      <c r="G264" s="238">
        <f>543.15+250.96</f>
        <v>794.11</v>
      </c>
      <c r="H264" s="238"/>
    </row>
    <row r="265" spans="1:8" x14ac:dyDescent="0.2">
      <c r="A265" s="272">
        <v>3213</v>
      </c>
      <c r="B265" s="272"/>
      <c r="C265" s="272"/>
      <c r="D265" s="239" t="s">
        <v>107</v>
      </c>
      <c r="E265" s="237"/>
      <c r="F265" s="238"/>
      <c r="G265" s="238">
        <f>692.72+837.49+1026.1+300</f>
        <v>2856.31</v>
      </c>
      <c r="H265" s="238"/>
    </row>
    <row r="266" spans="1:8" x14ac:dyDescent="0.2">
      <c r="A266" s="272">
        <v>3214</v>
      </c>
      <c r="B266" s="272"/>
      <c r="C266" s="272"/>
      <c r="D266" s="239" t="s">
        <v>109</v>
      </c>
      <c r="E266" s="237"/>
      <c r="F266" s="238"/>
      <c r="G266" s="238"/>
      <c r="H266" s="238"/>
    </row>
    <row r="267" spans="1:8" x14ac:dyDescent="0.2">
      <c r="A267" s="274">
        <v>322</v>
      </c>
      <c r="B267" s="275"/>
      <c r="C267" s="276"/>
      <c r="D267" s="239" t="s">
        <v>111</v>
      </c>
      <c r="E267" s="237">
        <f>SUM(E268:E272)</f>
        <v>0</v>
      </c>
      <c r="F267" s="237">
        <f t="shared" ref="F267" si="85">SUM(F268:F272)</f>
        <v>0</v>
      </c>
      <c r="G267" s="237">
        <f>SUM(G268:G272)</f>
        <v>1516.79</v>
      </c>
      <c r="H267" s="238"/>
    </row>
    <row r="268" spans="1:8" x14ac:dyDescent="0.2">
      <c r="A268" s="274">
        <v>3221</v>
      </c>
      <c r="B268" s="275"/>
      <c r="C268" s="276"/>
      <c r="D268" s="236" t="s">
        <v>113</v>
      </c>
      <c r="E268" s="237"/>
      <c r="F268" s="238"/>
      <c r="G268" s="238">
        <f>1082.07+200</f>
        <v>1282.07</v>
      </c>
      <c r="H268" s="238"/>
    </row>
    <row r="269" spans="1:8" x14ac:dyDescent="0.2">
      <c r="A269" s="274">
        <v>3222</v>
      </c>
      <c r="B269" s="275"/>
      <c r="C269" s="276"/>
      <c r="D269" s="236" t="s">
        <v>382</v>
      </c>
      <c r="E269" s="237"/>
      <c r="F269" s="238"/>
      <c r="G269" s="238">
        <f>88.22+100.52</f>
        <v>188.74</v>
      </c>
      <c r="H269" s="238"/>
    </row>
    <row r="270" spans="1:8" ht="25.5" x14ac:dyDescent="0.2">
      <c r="A270" s="274">
        <v>3224</v>
      </c>
      <c r="B270" s="275"/>
      <c r="C270" s="276"/>
      <c r="D270" s="236" t="s">
        <v>117</v>
      </c>
      <c r="E270" s="237"/>
      <c r="F270" s="238"/>
      <c r="G270" s="238">
        <v>45.98</v>
      </c>
      <c r="H270" s="238"/>
    </row>
    <row r="271" spans="1:8" x14ac:dyDescent="0.2">
      <c r="A271" s="274">
        <v>3225</v>
      </c>
      <c r="B271" s="275"/>
      <c r="C271" s="276"/>
      <c r="D271" s="236" t="s">
        <v>564</v>
      </c>
      <c r="E271" s="237"/>
      <c r="F271" s="238"/>
      <c r="G271" s="238"/>
      <c r="H271" s="238"/>
    </row>
    <row r="272" spans="1:8" x14ac:dyDescent="0.2">
      <c r="A272" s="274">
        <v>3227</v>
      </c>
      <c r="B272" s="275"/>
      <c r="C272" s="276"/>
      <c r="D272" s="236" t="s">
        <v>121</v>
      </c>
      <c r="E272" s="237"/>
      <c r="F272" s="238"/>
      <c r="G272" s="238"/>
      <c r="H272" s="238"/>
    </row>
    <row r="273" spans="1:8" x14ac:dyDescent="0.2">
      <c r="A273" s="274">
        <v>323</v>
      </c>
      <c r="B273" s="275"/>
      <c r="C273" s="276"/>
      <c r="D273" s="239" t="s">
        <v>123</v>
      </c>
      <c r="E273" s="237">
        <f>SUM(E274:E280)</f>
        <v>0</v>
      </c>
      <c r="F273" s="237">
        <f t="shared" ref="F273" si="86">SUM(F274:F280)</f>
        <v>0</v>
      </c>
      <c r="G273" s="237">
        <f>SUM(G274:G280)</f>
        <v>23225.88</v>
      </c>
      <c r="H273" s="238"/>
    </row>
    <row r="274" spans="1:8" x14ac:dyDescent="0.2">
      <c r="A274" s="274">
        <v>3231</v>
      </c>
      <c r="B274" s="275"/>
      <c r="C274" s="276"/>
      <c r="D274" s="242" t="s">
        <v>125</v>
      </c>
      <c r="E274" s="237"/>
      <c r="F274" s="238"/>
      <c r="G274" s="238">
        <f>216.41+77.97+1790</f>
        <v>2084.38</v>
      </c>
      <c r="H274" s="238"/>
    </row>
    <row r="275" spans="1:8" x14ac:dyDescent="0.2">
      <c r="A275" s="274">
        <v>3232</v>
      </c>
      <c r="B275" s="275"/>
      <c r="C275" s="276"/>
      <c r="D275" s="242" t="s">
        <v>127</v>
      </c>
      <c r="E275" s="237"/>
      <c r="F275" s="238"/>
      <c r="G275" s="238"/>
      <c r="H275" s="238"/>
    </row>
    <row r="276" spans="1:8" x14ac:dyDescent="0.2">
      <c r="A276" s="274">
        <v>3233</v>
      </c>
      <c r="B276" s="275"/>
      <c r="C276" s="276"/>
      <c r="D276" s="236" t="s">
        <v>129</v>
      </c>
      <c r="E276" s="237"/>
      <c r="F276" s="238"/>
      <c r="G276" s="238">
        <v>4390</v>
      </c>
      <c r="H276" s="238"/>
    </row>
    <row r="277" spans="1:8" x14ac:dyDescent="0.2">
      <c r="A277" s="274">
        <v>3235</v>
      </c>
      <c r="B277" s="275"/>
      <c r="C277" s="276"/>
      <c r="D277" s="236" t="s">
        <v>133</v>
      </c>
      <c r="E277" s="237"/>
      <c r="F277" s="238"/>
      <c r="G277" s="238">
        <v>62.5</v>
      </c>
      <c r="H277" s="238"/>
    </row>
    <row r="278" spans="1:8" x14ac:dyDescent="0.2">
      <c r="A278" s="274">
        <v>3237</v>
      </c>
      <c r="B278" s="275"/>
      <c r="C278" s="276"/>
      <c r="D278" s="236" t="s">
        <v>137</v>
      </c>
      <c r="E278" s="237"/>
      <c r="F278" s="238"/>
      <c r="G278" s="238">
        <f>255+1252.56+3722.57+1499.94+373.84+1595+756.18</f>
        <v>9455.09</v>
      </c>
      <c r="H278" s="238"/>
    </row>
    <row r="279" spans="1:8" x14ac:dyDescent="0.2">
      <c r="A279" s="240">
        <v>3238</v>
      </c>
      <c r="B279" s="241"/>
      <c r="C279" s="236"/>
      <c r="D279" s="236" t="s">
        <v>139</v>
      </c>
      <c r="E279" s="237"/>
      <c r="F279" s="238"/>
      <c r="G279" s="238">
        <v>335.87</v>
      </c>
      <c r="H279" s="238"/>
    </row>
    <row r="280" spans="1:8" x14ac:dyDescent="0.2">
      <c r="A280" s="274">
        <v>3239</v>
      </c>
      <c r="B280" s="275"/>
      <c r="C280" s="276"/>
      <c r="D280" s="236" t="s">
        <v>141</v>
      </c>
      <c r="E280" s="237"/>
      <c r="F280" s="238"/>
      <c r="G280" s="238">
        <f>6710.65+24.89+162.5</f>
        <v>6898.04</v>
      </c>
      <c r="H280" s="238"/>
    </row>
    <row r="281" spans="1:8" ht="25.5" x14ac:dyDescent="0.2">
      <c r="A281" s="272">
        <v>324</v>
      </c>
      <c r="B281" s="272"/>
      <c r="C281" s="272"/>
      <c r="D281" s="239" t="s">
        <v>567</v>
      </c>
      <c r="E281" s="237">
        <f>E282</f>
        <v>0</v>
      </c>
      <c r="F281" s="237">
        <f t="shared" ref="F281:G281" si="87">F282</f>
        <v>0</v>
      </c>
      <c r="G281" s="237">
        <f t="shared" si="87"/>
        <v>14612.51</v>
      </c>
      <c r="H281" s="238"/>
    </row>
    <row r="282" spans="1:8" ht="25.5" x14ac:dyDescent="0.2">
      <c r="A282" s="272">
        <v>3241</v>
      </c>
      <c r="B282" s="272"/>
      <c r="C282" s="272"/>
      <c r="D282" s="239" t="s">
        <v>567</v>
      </c>
      <c r="E282" s="237"/>
      <c r="F282" s="238"/>
      <c r="G282" s="238">
        <f>3388.96+4959.57+2101.38+4162.6</f>
        <v>14612.51</v>
      </c>
      <c r="H282" s="238"/>
    </row>
    <row r="283" spans="1:8" x14ac:dyDescent="0.2">
      <c r="A283" s="274">
        <v>329</v>
      </c>
      <c r="B283" s="275"/>
      <c r="C283" s="276"/>
      <c r="D283" s="239" t="s">
        <v>146</v>
      </c>
      <c r="E283" s="237">
        <f t="shared" ref="E283:F283" si="88">SUM(E284:E286)</f>
        <v>0</v>
      </c>
      <c r="F283" s="237">
        <f t="shared" si="88"/>
        <v>0</v>
      </c>
      <c r="G283" s="237">
        <f>SUM(G284:G286)</f>
        <v>2947.45</v>
      </c>
      <c r="H283" s="238"/>
    </row>
    <row r="284" spans="1:8" x14ac:dyDescent="0.2">
      <c r="A284" s="240">
        <v>3293</v>
      </c>
      <c r="B284" s="241"/>
      <c r="C284" s="236"/>
      <c r="D284" s="242" t="s">
        <v>152</v>
      </c>
      <c r="E284" s="237"/>
      <c r="F284" s="237"/>
      <c r="G284" s="237">
        <f>835.11+1423.14</f>
        <v>2258.25</v>
      </c>
      <c r="H284" s="238"/>
    </row>
    <row r="285" spans="1:8" x14ac:dyDescent="0.2">
      <c r="A285" s="274">
        <v>3294</v>
      </c>
      <c r="B285" s="275"/>
      <c r="C285" s="276"/>
      <c r="D285" s="236" t="s">
        <v>154</v>
      </c>
      <c r="E285" s="237"/>
      <c r="F285" s="237"/>
      <c r="G285" s="238"/>
      <c r="H285" s="238"/>
    </row>
    <row r="286" spans="1:8" x14ac:dyDescent="0.2">
      <c r="A286" s="272">
        <v>3299</v>
      </c>
      <c r="B286" s="272"/>
      <c r="C286" s="272"/>
      <c r="D286" s="239" t="s">
        <v>146</v>
      </c>
      <c r="E286" s="237"/>
      <c r="F286" s="237"/>
      <c r="G286" s="238">
        <f>680+9.2</f>
        <v>689.2</v>
      </c>
      <c r="H286" s="238"/>
    </row>
    <row r="287" spans="1:8" x14ac:dyDescent="0.2">
      <c r="A287" s="274">
        <v>34</v>
      </c>
      <c r="B287" s="275"/>
      <c r="C287" s="276"/>
      <c r="D287" s="236" t="s">
        <v>161</v>
      </c>
      <c r="E287" s="237">
        <v>0</v>
      </c>
      <c r="F287" s="237">
        <v>0</v>
      </c>
      <c r="G287" s="237">
        <f>+G288</f>
        <v>66.290000000000006</v>
      </c>
      <c r="H287" s="238"/>
    </row>
    <row r="288" spans="1:8" x14ac:dyDescent="0.2">
      <c r="A288" s="240">
        <v>343</v>
      </c>
      <c r="B288" s="241"/>
      <c r="C288" s="236"/>
      <c r="D288" s="236" t="s">
        <v>163</v>
      </c>
      <c r="E288" s="237"/>
      <c r="F288" s="237"/>
      <c r="G288" s="237">
        <f>+G289</f>
        <v>66.290000000000006</v>
      </c>
      <c r="H288" s="238"/>
    </row>
    <row r="289" spans="1:8" x14ac:dyDescent="0.2">
      <c r="A289" s="274">
        <v>3431</v>
      </c>
      <c r="B289" s="275"/>
      <c r="C289" s="276"/>
      <c r="D289" s="236" t="s">
        <v>165</v>
      </c>
      <c r="E289" s="237"/>
      <c r="F289" s="237"/>
      <c r="G289" s="237">
        <v>66.290000000000006</v>
      </c>
      <c r="H289" s="238"/>
    </row>
    <row r="290" spans="1:8" ht="25.5" x14ac:dyDescent="0.2">
      <c r="A290" s="272">
        <v>37</v>
      </c>
      <c r="B290" s="272"/>
      <c r="C290" s="272"/>
      <c r="D290" s="239" t="s">
        <v>204</v>
      </c>
      <c r="E290" s="237">
        <v>14500</v>
      </c>
      <c r="F290" s="237">
        <v>14500</v>
      </c>
      <c r="G290" s="237">
        <f t="shared" ref="F290:G291" si="89">G291</f>
        <v>14500</v>
      </c>
      <c r="H290" s="238">
        <f t="shared" si="83"/>
        <v>100</v>
      </c>
    </row>
    <row r="291" spans="1:8" ht="25.5" x14ac:dyDescent="0.2">
      <c r="A291" s="272">
        <v>372</v>
      </c>
      <c r="B291" s="272"/>
      <c r="C291" s="272"/>
      <c r="D291" s="239" t="s">
        <v>206</v>
      </c>
      <c r="E291" s="237">
        <f>E292</f>
        <v>0</v>
      </c>
      <c r="F291" s="237">
        <f t="shared" si="89"/>
        <v>0</v>
      </c>
      <c r="G291" s="237">
        <f t="shared" si="89"/>
        <v>14500</v>
      </c>
      <c r="H291" s="238"/>
    </row>
    <row r="292" spans="1:8" x14ac:dyDescent="0.2">
      <c r="A292" s="272">
        <v>3721</v>
      </c>
      <c r="B292" s="272"/>
      <c r="C292" s="272"/>
      <c r="D292" s="239" t="s">
        <v>208</v>
      </c>
      <c r="E292" s="237"/>
      <c r="F292" s="238"/>
      <c r="G292" s="238">
        <f>10875+3625</f>
        <v>14500</v>
      </c>
      <c r="H292" s="238"/>
    </row>
    <row r="293" spans="1:8" x14ac:dyDescent="0.2">
      <c r="A293" s="272">
        <v>38</v>
      </c>
      <c r="B293" s="272"/>
      <c r="C293" s="272"/>
      <c r="D293" s="236" t="s">
        <v>574</v>
      </c>
      <c r="E293" s="237">
        <f>E294+E297</f>
        <v>0</v>
      </c>
      <c r="F293" s="237">
        <f t="shared" ref="F293:G293" si="90">F294+F297</f>
        <v>0</v>
      </c>
      <c r="G293" s="237">
        <f t="shared" si="90"/>
        <v>100</v>
      </c>
      <c r="H293" s="238"/>
    </row>
    <row r="294" spans="1:8" x14ac:dyDescent="0.2">
      <c r="A294" s="272">
        <v>381</v>
      </c>
      <c r="B294" s="272"/>
      <c r="C294" s="272"/>
      <c r="D294" s="236" t="s">
        <v>212</v>
      </c>
      <c r="E294" s="237">
        <f>E295</f>
        <v>0</v>
      </c>
      <c r="F294" s="237">
        <f t="shared" ref="F294:G295" si="91">F295</f>
        <v>0</v>
      </c>
      <c r="G294" s="237">
        <f t="shared" si="91"/>
        <v>100</v>
      </c>
      <c r="H294" s="238"/>
    </row>
    <row r="295" spans="1:8" x14ac:dyDescent="0.2">
      <c r="A295" s="274">
        <v>3811</v>
      </c>
      <c r="B295" s="275"/>
      <c r="C295" s="276"/>
      <c r="D295" s="236" t="s">
        <v>214</v>
      </c>
      <c r="E295" s="237">
        <f>E296</f>
        <v>0</v>
      </c>
      <c r="F295" s="237">
        <f t="shared" si="91"/>
        <v>0</v>
      </c>
      <c r="G295" s="237">
        <v>100</v>
      </c>
      <c r="H295" s="238"/>
    </row>
    <row r="296" spans="1:8" x14ac:dyDescent="0.2">
      <c r="A296" s="272">
        <v>4</v>
      </c>
      <c r="B296" s="272"/>
      <c r="C296" s="272"/>
      <c r="D296" s="239" t="s">
        <v>227</v>
      </c>
      <c r="E296" s="237">
        <f>E297+E300</f>
        <v>0</v>
      </c>
      <c r="F296" s="237">
        <f t="shared" ref="F296:G296" si="92">F297+F300</f>
        <v>0</v>
      </c>
      <c r="G296" s="237">
        <f t="shared" si="92"/>
        <v>5189.9699999999993</v>
      </c>
      <c r="H296" s="238"/>
    </row>
    <row r="297" spans="1:8" ht="25.5" x14ac:dyDescent="0.2">
      <c r="A297" s="272">
        <v>41</v>
      </c>
      <c r="B297" s="272"/>
      <c r="C297" s="272"/>
      <c r="D297" s="239" t="s">
        <v>575</v>
      </c>
      <c r="E297" s="237">
        <f>E298</f>
        <v>0</v>
      </c>
      <c r="F297" s="237">
        <f t="shared" ref="F297:G298" si="93">F298</f>
        <v>0</v>
      </c>
      <c r="G297" s="237">
        <f t="shared" si="93"/>
        <v>0</v>
      </c>
      <c r="H297" s="238"/>
    </row>
    <row r="298" spans="1:8" x14ac:dyDescent="0.2">
      <c r="A298" s="274">
        <v>412</v>
      </c>
      <c r="B298" s="275"/>
      <c r="C298" s="276"/>
      <c r="D298" s="239" t="s">
        <v>230</v>
      </c>
      <c r="E298" s="237">
        <f>E299</f>
        <v>0</v>
      </c>
      <c r="F298" s="237">
        <f t="shared" si="93"/>
        <v>0</v>
      </c>
      <c r="G298" s="237">
        <f t="shared" si="93"/>
        <v>0</v>
      </c>
      <c r="H298" s="238"/>
    </row>
    <row r="299" spans="1:8" x14ac:dyDescent="0.2">
      <c r="A299" s="274">
        <v>4123</v>
      </c>
      <c r="B299" s="275"/>
      <c r="C299" s="276"/>
      <c r="D299" s="236" t="s">
        <v>232</v>
      </c>
      <c r="E299" s="237"/>
      <c r="F299" s="238"/>
      <c r="G299" s="238"/>
      <c r="H299" s="238"/>
    </row>
    <row r="300" spans="1:8" ht="25.5" x14ac:dyDescent="0.2">
      <c r="A300" s="274">
        <v>42</v>
      </c>
      <c r="B300" s="275"/>
      <c r="C300" s="276"/>
      <c r="D300" s="236" t="s">
        <v>234</v>
      </c>
      <c r="E300" s="237">
        <f>E301+E306</f>
        <v>0</v>
      </c>
      <c r="F300" s="237">
        <f t="shared" ref="F300" si="94">F301+F306</f>
        <v>0</v>
      </c>
      <c r="G300" s="237">
        <f>G301+G306</f>
        <v>5189.9699999999993</v>
      </c>
      <c r="H300" s="238"/>
    </row>
    <row r="301" spans="1:8" x14ac:dyDescent="0.2">
      <c r="A301" s="274">
        <v>422</v>
      </c>
      <c r="B301" s="275"/>
      <c r="C301" s="276"/>
      <c r="D301" s="236" t="s">
        <v>240</v>
      </c>
      <c r="E301" s="237">
        <f t="shared" ref="E301:F301" si="95">E302+E305+E304+E303</f>
        <v>0</v>
      </c>
      <c r="F301" s="237">
        <f t="shared" si="95"/>
        <v>0</v>
      </c>
      <c r="G301" s="237">
        <f>G302+G305+G304+G303</f>
        <v>5189.9699999999993</v>
      </c>
      <c r="H301" s="238"/>
    </row>
    <row r="302" spans="1:8" x14ac:dyDescent="0.2">
      <c r="A302" s="272">
        <v>4221</v>
      </c>
      <c r="B302" s="272"/>
      <c r="C302" s="272"/>
      <c r="D302" s="239" t="s">
        <v>242</v>
      </c>
      <c r="E302" s="237"/>
      <c r="F302" s="238"/>
      <c r="G302" s="238">
        <f>1292.99+3448</f>
        <v>4740.99</v>
      </c>
      <c r="H302" s="238"/>
    </row>
    <row r="303" spans="1:8" x14ac:dyDescent="0.2">
      <c r="A303" s="240">
        <v>4222</v>
      </c>
      <c r="B303" s="241"/>
      <c r="C303" s="236"/>
      <c r="D303" s="239" t="s">
        <v>437</v>
      </c>
      <c r="E303" s="237"/>
      <c r="F303" s="238"/>
      <c r="G303" s="238">
        <f>201.38+247.6</f>
        <v>448.98</v>
      </c>
      <c r="H303" s="238"/>
    </row>
    <row r="304" spans="1:8" x14ac:dyDescent="0.2">
      <c r="A304" s="274">
        <v>4224</v>
      </c>
      <c r="B304" s="275"/>
      <c r="C304" s="276"/>
      <c r="D304" s="239" t="s">
        <v>244</v>
      </c>
      <c r="E304" s="237"/>
      <c r="F304" s="238"/>
      <c r="G304" s="238"/>
      <c r="H304" s="238"/>
    </row>
    <row r="305" spans="1:8" x14ac:dyDescent="0.2">
      <c r="A305" s="272">
        <v>4225</v>
      </c>
      <c r="B305" s="272"/>
      <c r="C305" s="272"/>
      <c r="D305" s="239" t="s">
        <v>441</v>
      </c>
      <c r="E305" s="237"/>
      <c r="F305" s="238"/>
      <c r="G305" s="238"/>
      <c r="H305" s="238"/>
    </row>
    <row r="306" spans="1:8" ht="25.5" x14ac:dyDescent="0.2">
      <c r="A306" s="272">
        <v>424</v>
      </c>
      <c r="B306" s="272"/>
      <c r="C306" s="272"/>
      <c r="D306" s="239" t="s">
        <v>449</v>
      </c>
      <c r="E306" s="237">
        <f>E307</f>
        <v>0</v>
      </c>
      <c r="F306" s="237">
        <f t="shared" ref="F306:G306" si="96">F307</f>
        <v>0</v>
      </c>
      <c r="G306" s="237">
        <f t="shared" si="96"/>
        <v>0</v>
      </c>
      <c r="H306" s="238"/>
    </row>
    <row r="307" spans="1:8" x14ac:dyDescent="0.2">
      <c r="A307" s="272">
        <v>4241</v>
      </c>
      <c r="B307" s="272"/>
      <c r="C307" s="272"/>
      <c r="D307" s="239" t="s">
        <v>451</v>
      </c>
      <c r="E307" s="237"/>
      <c r="F307" s="238"/>
      <c r="G307" s="238"/>
      <c r="H307" s="238"/>
    </row>
    <row r="308" spans="1:8" x14ac:dyDescent="0.2">
      <c r="A308" s="280" t="s">
        <v>603</v>
      </c>
      <c r="B308" s="280"/>
      <c r="C308" s="280"/>
      <c r="D308" s="233" t="s">
        <v>588</v>
      </c>
      <c r="E308" s="234">
        <f>E309+E346</f>
        <v>268216</v>
      </c>
      <c r="F308" s="234">
        <f>F309+F346</f>
        <v>268216</v>
      </c>
      <c r="G308" s="234">
        <f>G309+G346</f>
        <v>140737.93999999997</v>
      </c>
      <c r="H308" s="235">
        <f t="shared" ref="H308:H317" si="97">G308/F308*100</f>
        <v>52.471865958779482</v>
      </c>
    </row>
    <row r="309" spans="1:8" x14ac:dyDescent="0.2">
      <c r="A309" s="274">
        <v>3</v>
      </c>
      <c r="B309" s="275"/>
      <c r="C309" s="276"/>
      <c r="D309" s="236" t="s">
        <v>82</v>
      </c>
      <c r="E309" s="237">
        <f>E310+E317</f>
        <v>268216</v>
      </c>
      <c r="F309" s="237">
        <f t="shared" ref="F309" si="98">F310+F317</f>
        <v>268216</v>
      </c>
      <c r="G309" s="237">
        <f>G310+G317+G343</f>
        <v>140079.25999999998</v>
      </c>
      <c r="H309" s="238">
        <f t="shared" si="97"/>
        <v>52.226287768067522</v>
      </c>
    </row>
    <row r="310" spans="1:8" x14ac:dyDescent="0.2">
      <c r="A310" s="274">
        <v>31</v>
      </c>
      <c r="B310" s="275"/>
      <c r="C310" s="276"/>
      <c r="D310" s="236" t="s">
        <v>84</v>
      </c>
      <c r="E310" s="237">
        <v>207816</v>
      </c>
      <c r="F310" s="237">
        <v>207816</v>
      </c>
      <c r="G310" s="237">
        <f>G311+G313+G315</f>
        <v>95784.049999999988</v>
      </c>
      <c r="H310" s="238">
        <f t="shared" si="97"/>
        <v>46.090796666281705</v>
      </c>
    </row>
    <row r="311" spans="1:8" x14ac:dyDescent="0.2">
      <c r="A311" s="274">
        <v>311</v>
      </c>
      <c r="B311" s="275"/>
      <c r="C311" s="276"/>
      <c r="D311" s="236" t="s">
        <v>86</v>
      </c>
      <c r="E311" s="237">
        <f>E312</f>
        <v>0</v>
      </c>
      <c r="F311" s="237">
        <f>F312</f>
        <v>0</v>
      </c>
      <c r="G311" s="237">
        <f t="shared" ref="G311" si="99">G312</f>
        <v>80157.98</v>
      </c>
      <c r="H311" s="238"/>
    </row>
    <row r="312" spans="1:8" x14ac:dyDescent="0.2">
      <c r="A312" s="272">
        <v>3111</v>
      </c>
      <c r="B312" s="272"/>
      <c r="C312" s="272"/>
      <c r="D312" s="239" t="s">
        <v>88</v>
      </c>
      <c r="E312" s="237"/>
      <c r="F312" s="238"/>
      <c r="G312" s="238">
        <f>61297.64+18860.34</f>
        <v>80157.98</v>
      </c>
      <c r="H312" s="238"/>
    </row>
    <row r="313" spans="1:8" x14ac:dyDescent="0.2">
      <c r="A313" s="281">
        <v>312</v>
      </c>
      <c r="B313" s="282"/>
      <c r="C313" s="283"/>
      <c r="D313" s="239" t="s">
        <v>92</v>
      </c>
      <c r="E313" s="237">
        <f>E314</f>
        <v>0</v>
      </c>
      <c r="F313" s="237">
        <f t="shared" ref="F313:G313" si="100">F314</f>
        <v>0</v>
      </c>
      <c r="G313" s="237">
        <f t="shared" si="100"/>
        <v>2400</v>
      </c>
      <c r="H313" s="238"/>
    </row>
    <row r="314" spans="1:8" x14ac:dyDescent="0.2">
      <c r="A314" s="281">
        <v>3121</v>
      </c>
      <c r="B314" s="282"/>
      <c r="C314" s="283"/>
      <c r="D314" s="239" t="s">
        <v>92</v>
      </c>
      <c r="E314" s="237"/>
      <c r="F314" s="238"/>
      <c r="G314" s="238">
        <f>600+1800</f>
        <v>2400</v>
      </c>
      <c r="H314" s="238"/>
    </row>
    <row r="315" spans="1:8" x14ac:dyDescent="0.2">
      <c r="A315" s="272">
        <v>313</v>
      </c>
      <c r="B315" s="272"/>
      <c r="C315" s="272"/>
      <c r="D315" s="239" t="s">
        <v>95</v>
      </c>
      <c r="E315" s="237">
        <f t="shared" ref="E315:G315" si="101">E316</f>
        <v>0</v>
      </c>
      <c r="F315" s="237">
        <f t="shared" si="101"/>
        <v>0</v>
      </c>
      <c r="G315" s="237">
        <f t="shared" si="101"/>
        <v>13226.07</v>
      </c>
      <c r="H315" s="238"/>
    </row>
    <row r="316" spans="1:8" x14ac:dyDescent="0.2">
      <c r="A316" s="274">
        <v>3132</v>
      </c>
      <c r="B316" s="275"/>
      <c r="C316" s="276"/>
      <c r="D316" s="239" t="s">
        <v>563</v>
      </c>
      <c r="E316" s="237"/>
      <c r="F316" s="238"/>
      <c r="G316" s="238">
        <f>7317.14+5908.93</f>
        <v>13226.07</v>
      </c>
      <c r="H316" s="238"/>
    </row>
    <row r="317" spans="1:8" x14ac:dyDescent="0.2">
      <c r="A317" s="274">
        <v>32</v>
      </c>
      <c r="B317" s="275"/>
      <c r="C317" s="276"/>
      <c r="D317" s="236" t="s">
        <v>99</v>
      </c>
      <c r="E317" s="237">
        <v>60400</v>
      </c>
      <c r="F317" s="237">
        <v>60400</v>
      </c>
      <c r="G317" s="237">
        <f>G318+G323+G329+G337+G339</f>
        <v>44282.789999999994</v>
      </c>
      <c r="H317" s="238">
        <f t="shared" si="97"/>
        <v>73.3158774834437</v>
      </c>
    </row>
    <row r="318" spans="1:8" x14ac:dyDescent="0.2">
      <c r="A318" s="274">
        <v>321</v>
      </c>
      <c r="B318" s="275"/>
      <c r="C318" s="276"/>
      <c r="D318" s="236" t="s">
        <v>570</v>
      </c>
      <c r="E318" s="237">
        <f t="shared" ref="E318:G318" si="102">E319+E320+E321+E322</f>
        <v>0</v>
      </c>
      <c r="F318" s="237">
        <f t="shared" si="102"/>
        <v>0</v>
      </c>
      <c r="G318" s="237">
        <f t="shared" si="102"/>
        <v>32816.759999999995</v>
      </c>
      <c r="H318" s="238"/>
    </row>
    <row r="319" spans="1:8" x14ac:dyDescent="0.2">
      <c r="A319" s="272">
        <v>3211</v>
      </c>
      <c r="B319" s="272"/>
      <c r="C319" s="272"/>
      <c r="D319" s="239" t="s">
        <v>103</v>
      </c>
      <c r="E319" s="237"/>
      <c r="F319" s="238"/>
      <c r="G319" s="238">
        <f>675+250+5238.56+1765+162+79+6434.17+2076.23+1270.8+7370.31+3438.92+294.64</f>
        <v>29054.629999999997</v>
      </c>
      <c r="H319" s="238"/>
    </row>
    <row r="320" spans="1:8" ht="25.5" x14ac:dyDescent="0.2">
      <c r="A320" s="240">
        <v>3212</v>
      </c>
      <c r="B320" s="241"/>
      <c r="C320" s="236"/>
      <c r="D320" s="239" t="s">
        <v>105</v>
      </c>
      <c r="E320" s="237"/>
      <c r="F320" s="237"/>
      <c r="G320" s="237">
        <f>714.7+194.89</f>
        <v>909.59</v>
      </c>
      <c r="H320" s="238"/>
    </row>
    <row r="321" spans="1:8" x14ac:dyDescent="0.2">
      <c r="A321" s="240">
        <v>3213</v>
      </c>
      <c r="B321" s="241"/>
      <c r="C321" s="236"/>
      <c r="D321" s="239" t="s">
        <v>107</v>
      </c>
      <c r="E321" s="237"/>
      <c r="F321" s="237"/>
      <c r="G321" s="237">
        <f>2541.95+310.59</f>
        <v>2852.54</v>
      </c>
      <c r="H321" s="238"/>
    </row>
    <row r="322" spans="1:8" x14ac:dyDescent="0.2">
      <c r="A322" s="240">
        <v>3214</v>
      </c>
      <c r="B322" s="241"/>
      <c r="C322" s="236"/>
      <c r="D322" s="239" t="s">
        <v>579</v>
      </c>
      <c r="E322" s="237">
        <v>0</v>
      </c>
      <c r="F322" s="237">
        <f>E322</f>
        <v>0</v>
      </c>
      <c r="G322" s="237"/>
      <c r="H322" s="238"/>
    </row>
    <row r="323" spans="1:8" x14ac:dyDescent="0.2">
      <c r="A323" s="274">
        <v>322</v>
      </c>
      <c r="B323" s="275"/>
      <c r="C323" s="276"/>
      <c r="D323" s="239" t="s">
        <v>111</v>
      </c>
      <c r="E323" s="237">
        <f>SUM(E324:E328)</f>
        <v>0</v>
      </c>
      <c r="F323" s="237">
        <f t="shared" ref="F323:G323" si="103">SUM(F324:F328)</f>
        <v>0</v>
      </c>
      <c r="G323" s="237">
        <f t="shared" si="103"/>
        <v>1790.38</v>
      </c>
      <c r="H323" s="238"/>
    </row>
    <row r="324" spans="1:8" x14ac:dyDescent="0.2">
      <c r="A324" s="274">
        <v>3221</v>
      </c>
      <c r="B324" s="275"/>
      <c r="C324" s="276"/>
      <c r="D324" s="236" t="s">
        <v>113</v>
      </c>
      <c r="E324" s="237"/>
      <c r="F324" s="238"/>
      <c r="G324" s="238">
        <f>174.46+1615.92</f>
        <v>1790.38</v>
      </c>
      <c r="H324" s="238"/>
    </row>
    <row r="325" spans="1:8" x14ac:dyDescent="0.2">
      <c r="A325" s="274">
        <v>3222</v>
      </c>
      <c r="B325" s="275"/>
      <c r="C325" s="276"/>
      <c r="D325" s="236" t="s">
        <v>382</v>
      </c>
      <c r="E325" s="237"/>
      <c r="F325" s="238"/>
      <c r="G325" s="238"/>
      <c r="H325" s="238"/>
    </row>
    <row r="326" spans="1:8" ht="25.5" x14ac:dyDescent="0.2">
      <c r="A326" s="240">
        <v>3224</v>
      </c>
      <c r="B326" s="241"/>
      <c r="C326" s="236"/>
      <c r="D326" s="239" t="s">
        <v>117</v>
      </c>
      <c r="E326" s="237"/>
      <c r="F326" s="237"/>
      <c r="G326" s="237"/>
      <c r="H326" s="238"/>
    </row>
    <row r="327" spans="1:8" x14ac:dyDescent="0.2">
      <c r="A327" s="272">
        <v>3225</v>
      </c>
      <c r="B327" s="272"/>
      <c r="C327" s="272"/>
      <c r="D327" s="239" t="s">
        <v>564</v>
      </c>
      <c r="E327" s="237"/>
      <c r="F327" s="237"/>
      <c r="G327" s="237"/>
      <c r="H327" s="238"/>
    </row>
    <row r="328" spans="1:8" x14ac:dyDescent="0.2">
      <c r="A328" s="272">
        <v>3227</v>
      </c>
      <c r="B328" s="272"/>
      <c r="C328" s="272"/>
      <c r="D328" s="239" t="s">
        <v>565</v>
      </c>
      <c r="E328" s="237"/>
      <c r="F328" s="237"/>
      <c r="G328" s="237"/>
      <c r="H328" s="238"/>
    </row>
    <row r="329" spans="1:8" x14ac:dyDescent="0.2">
      <c r="A329" s="274">
        <v>323</v>
      </c>
      <c r="B329" s="275"/>
      <c r="C329" s="276"/>
      <c r="D329" s="239" t="s">
        <v>123</v>
      </c>
      <c r="E329" s="237">
        <f>E332+E336+E334++E330+E331+E333</f>
        <v>0</v>
      </c>
      <c r="F329" s="237">
        <f t="shared" ref="F329" si="104">F332+F336+F334++F330+F331+F333</f>
        <v>0</v>
      </c>
      <c r="G329" s="237">
        <f>G332+G336+G334++G330+G331+G333+G335</f>
        <v>7405.24</v>
      </c>
      <c r="H329" s="238"/>
    </row>
    <row r="330" spans="1:8" x14ac:dyDescent="0.2">
      <c r="A330" s="240">
        <v>3231</v>
      </c>
      <c r="B330" s="241"/>
      <c r="C330" s="236"/>
      <c r="D330" s="236" t="s">
        <v>125</v>
      </c>
      <c r="E330" s="237"/>
      <c r="F330" s="237"/>
      <c r="G330" s="237">
        <f>306.31+31.6+504.2</f>
        <v>842.11</v>
      </c>
      <c r="H330" s="238"/>
    </row>
    <row r="331" spans="1:8" x14ac:dyDescent="0.2">
      <c r="A331" s="240">
        <v>3232</v>
      </c>
      <c r="B331" s="241"/>
      <c r="C331" s="236"/>
      <c r="D331" s="236" t="s">
        <v>127</v>
      </c>
      <c r="E331" s="237"/>
      <c r="F331" s="237"/>
      <c r="G331" s="237"/>
      <c r="H331" s="238"/>
    </row>
    <row r="332" spans="1:8" x14ac:dyDescent="0.2">
      <c r="A332" s="274">
        <v>3233</v>
      </c>
      <c r="B332" s="275"/>
      <c r="C332" s="276"/>
      <c r="D332" s="236" t="s">
        <v>129</v>
      </c>
      <c r="E332" s="237"/>
      <c r="F332" s="238"/>
      <c r="G332" s="238">
        <f>3456.47+1411.5</f>
        <v>4867.9699999999993</v>
      </c>
      <c r="H332" s="238"/>
    </row>
    <row r="333" spans="1:8" x14ac:dyDescent="0.2">
      <c r="A333" s="240">
        <v>3235</v>
      </c>
      <c r="B333" s="241"/>
      <c r="C333" s="236"/>
      <c r="D333" s="239" t="s">
        <v>133</v>
      </c>
      <c r="E333" s="237"/>
      <c r="F333" s="238"/>
      <c r="G333" s="238"/>
      <c r="H333" s="238"/>
    </row>
    <row r="334" spans="1:8" x14ac:dyDescent="0.2">
      <c r="A334" s="240">
        <v>3237</v>
      </c>
      <c r="B334" s="241"/>
      <c r="C334" s="236"/>
      <c r="D334" s="236" t="s">
        <v>137</v>
      </c>
      <c r="E334" s="237"/>
      <c r="F334" s="238"/>
      <c r="G334" s="238">
        <v>501.18</v>
      </c>
      <c r="H334" s="238"/>
    </row>
    <row r="335" spans="1:8" x14ac:dyDescent="0.2">
      <c r="A335" s="240">
        <v>3238</v>
      </c>
      <c r="B335" s="241"/>
      <c r="C335" s="236"/>
      <c r="D335" s="236" t="s">
        <v>139</v>
      </c>
      <c r="E335" s="237"/>
      <c r="F335" s="238"/>
      <c r="G335" s="238">
        <v>109.35</v>
      </c>
      <c r="H335" s="238"/>
    </row>
    <row r="336" spans="1:8" x14ac:dyDescent="0.2">
      <c r="A336" s="274">
        <v>3239</v>
      </c>
      <c r="B336" s="275"/>
      <c r="C336" s="276"/>
      <c r="D336" s="236" t="s">
        <v>141</v>
      </c>
      <c r="E336" s="237"/>
      <c r="F336" s="238"/>
      <c r="G336" s="238">
        <f>857.13+15+150+62.5</f>
        <v>1084.6300000000001</v>
      </c>
      <c r="H336" s="238"/>
    </row>
    <row r="337" spans="1:8" ht="25.5" x14ac:dyDescent="0.2">
      <c r="A337" s="272">
        <v>324</v>
      </c>
      <c r="B337" s="272"/>
      <c r="C337" s="272"/>
      <c r="D337" s="239" t="s">
        <v>567</v>
      </c>
      <c r="E337" s="237">
        <f>E338</f>
        <v>0</v>
      </c>
      <c r="F337" s="237">
        <f t="shared" ref="F337:G337" si="105">F338</f>
        <v>0</v>
      </c>
      <c r="G337" s="237">
        <f t="shared" si="105"/>
        <v>987.25</v>
      </c>
      <c r="H337" s="238"/>
    </row>
    <row r="338" spans="1:8" ht="25.5" x14ac:dyDescent="0.2">
      <c r="A338" s="272">
        <v>3241</v>
      </c>
      <c r="B338" s="272"/>
      <c r="C338" s="272"/>
      <c r="D338" s="239" t="s">
        <v>567</v>
      </c>
      <c r="E338" s="237"/>
      <c r="F338" s="238"/>
      <c r="G338" s="238">
        <f>278.13+206.55+502.57</f>
        <v>987.25</v>
      </c>
      <c r="H338" s="238"/>
    </row>
    <row r="339" spans="1:8" x14ac:dyDescent="0.2">
      <c r="A339" s="274">
        <v>329</v>
      </c>
      <c r="B339" s="275"/>
      <c r="C339" s="276"/>
      <c r="D339" s="239" t="s">
        <v>146</v>
      </c>
      <c r="E339" s="237">
        <f>SUM(E340:E342)</f>
        <v>0</v>
      </c>
      <c r="F339" s="237">
        <f>SUM(F340:F342)</f>
        <v>0</v>
      </c>
      <c r="G339" s="237">
        <f t="shared" ref="G339" si="106">SUM(G340:G342)</f>
        <v>1283.1600000000001</v>
      </c>
      <c r="H339" s="238"/>
    </row>
    <row r="340" spans="1:8" x14ac:dyDescent="0.2">
      <c r="A340" s="274">
        <v>3293</v>
      </c>
      <c r="B340" s="275"/>
      <c r="C340" s="276"/>
      <c r="D340" s="236" t="s">
        <v>152</v>
      </c>
      <c r="E340" s="237"/>
      <c r="F340" s="238"/>
      <c r="G340" s="238">
        <f>401.3+403.11</f>
        <v>804.41000000000008</v>
      </c>
      <c r="H340" s="238"/>
    </row>
    <row r="341" spans="1:8" x14ac:dyDescent="0.2">
      <c r="A341" s="240">
        <v>3294</v>
      </c>
      <c r="B341" s="241"/>
      <c r="C341" s="236"/>
      <c r="D341" s="236" t="s">
        <v>154</v>
      </c>
      <c r="E341" s="237"/>
      <c r="F341" s="238"/>
      <c r="G341" s="238">
        <f>20+227.21+107.63</f>
        <v>354.84000000000003</v>
      </c>
      <c r="H341" s="238"/>
    </row>
    <row r="342" spans="1:8" ht="15.95" customHeight="1" x14ac:dyDescent="0.2">
      <c r="A342" s="272">
        <v>3299</v>
      </c>
      <c r="B342" s="272"/>
      <c r="C342" s="272"/>
      <c r="D342" s="239" t="s">
        <v>146</v>
      </c>
      <c r="E342" s="237"/>
      <c r="F342" s="238"/>
      <c r="G342" s="238">
        <v>123.91</v>
      </c>
      <c r="H342" s="238"/>
    </row>
    <row r="343" spans="1:8" ht="15.95" customHeight="1" x14ac:dyDescent="0.2">
      <c r="A343" s="274">
        <v>34</v>
      </c>
      <c r="B343" s="275"/>
      <c r="C343" s="276"/>
      <c r="D343" s="236" t="s">
        <v>161</v>
      </c>
      <c r="E343" s="237"/>
      <c r="F343" s="237"/>
      <c r="G343" s="237">
        <f>+G344</f>
        <v>12.42</v>
      </c>
      <c r="H343" s="238"/>
    </row>
    <row r="344" spans="1:8" ht="15.95" customHeight="1" x14ac:dyDescent="0.2">
      <c r="A344" s="240">
        <v>343</v>
      </c>
      <c r="B344" s="241"/>
      <c r="C344" s="236"/>
      <c r="D344" s="236" t="s">
        <v>163</v>
      </c>
      <c r="E344" s="237"/>
      <c r="F344" s="237"/>
      <c r="G344" s="237">
        <f>+G345</f>
        <v>12.42</v>
      </c>
      <c r="H344" s="238"/>
    </row>
    <row r="345" spans="1:8" ht="15.95" customHeight="1" x14ac:dyDescent="0.2">
      <c r="A345" s="274">
        <v>3431</v>
      </c>
      <c r="B345" s="275"/>
      <c r="C345" s="276"/>
      <c r="D345" s="236" t="s">
        <v>165</v>
      </c>
      <c r="E345" s="237"/>
      <c r="F345" s="237"/>
      <c r="G345" s="237">
        <f>11.52+0.9</f>
        <v>12.42</v>
      </c>
      <c r="H345" s="238"/>
    </row>
    <row r="346" spans="1:8" x14ac:dyDescent="0.2">
      <c r="A346" s="272">
        <v>4</v>
      </c>
      <c r="B346" s="272"/>
      <c r="C346" s="272"/>
      <c r="D346" s="239" t="s">
        <v>227</v>
      </c>
      <c r="E346" s="237">
        <f t="shared" ref="E346:G346" si="107">E350+E347</f>
        <v>0</v>
      </c>
      <c r="F346" s="237">
        <f t="shared" si="107"/>
        <v>0</v>
      </c>
      <c r="G346" s="237">
        <f t="shared" si="107"/>
        <v>658.68</v>
      </c>
      <c r="H346" s="238"/>
    </row>
    <row r="347" spans="1:8" ht="25.5" x14ac:dyDescent="0.2">
      <c r="A347" s="272">
        <v>41</v>
      </c>
      <c r="B347" s="272"/>
      <c r="C347" s="272"/>
      <c r="D347" s="239" t="s">
        <v>575</v>
      </c>
      <c r="E347" s="237">
        <f t="shared" ref="E347:G348" si="108">E348</f>
        <v>0</v>
      </c>
      <c r="F347" s="237">
        <f t="shared" si="108"/>
        <v>0</v>
      </c>
      <c r="G347" s="237">
        <f t="shared" si="108"/>
        <v>0</v>
      </c>
      <c r="H347" s="238"/>
    </row>
    <row r="348" spans="1:8" x14ac:dyDescent="0.2">
      <c r="A348" s="274">
        <v>412</v>
      </c>
      <c r="B348" s="275"/>
      <c r="C348" s="276"/>
      <c r="D348" s="239" t="s">
        <v>230</v>
      </c>
      <c r="E348" s="237">
        <f t="shared" si="108"/>
        <v>0</v>
      </c>
      <c r="F348" s="237">
        <f t="shared" si="108"/>
        <v>0</v>
      </c>
      <c r="G348" s="237">
        <f t="shared" si="108"/>
        <v>0</v>
      </c>
      <c r="H348" s="238"/>
    </row>
    <row r="349" spans="1:8" x14ac:dyDescent="0.2">
      <c r="A349" s="274">
        <v>4123</v>
      </c>
      <c r="B349" s="275"/>
      <c r="C349" s="276"/>
      <c r="D349" s="236" t="s">
        <v>232</v>
      </c>
      <c r="E349" s="237"/>
      <c r="F349" s="237"/>
      <c r="G349" s="237"/>
      <c r="H349" s="238"/>
    </row>
    <row r="350" spans="1:8" ht="25.5" x14ac:dyDescent="0.2">
      <c r="A350" s="274">
        <v>42</v>
      </c>
      <c r="B350" s="275"/>
      <c r="C350" s="276"/>
      <c r="D350" s="236" t="s">
        <v>234</v>
      </c>
      <c r="E350" s="237">
        <f>E351+E355+E357</f>
        <v>0</v>
      </c>
      <c r="F350" s="237">
        <f>F351+F355+F357</f>
        <v>0</v>
      </c>
      <c r="G350" s="237">
        <f t="shared" ref="G350" si="109">G351+G355+G357</f>
        <v>658.68</v>
      </c>
      <c r="H350" s="238"/>
    </row>
    <row r="351" spans="1:8" x14ac:dyDescent="0.2">
      <c r="A351" s="274">
        <v>422</v>
      </c>
      <c r="B351" s="275"/>
      <c r="C351" s="276"/>
      <c r="D351" s="236" t="s">
        <v>240</v>
      </c>
      <c r="E351" s="237">
        <f>E352+E354</f>
        <v>0</v>
      </c>
      <c r="F351" s="237">
        <f>F352+F353+F354</f>
        <v>0</v>
      </c>
      <c r="G351" s="237">
        <f>G352+G353</f>
        <v>544.80999999999995</v>
      </c>
      <c r="H351" s="238"/>
    </row>
    <row r="352" spans="1:8" x14ac:dyDescent="0.2">
      <c r="A352" s="272">
        <v>4221</v>
      </c>
      <c r="B352" s="272"/>
      <c r="C352" s="272"/>
      <c r="D352" s="239" t="s">
        <v>242</v>
      </c>
      <c r="E352" s="237"/>
      <c r="F352" s="238"/>
      <c r="G352" s="238">
        <v>544.80999999999995</v>
      </c>
      <c r="H352" s="238"/>
    </row>
    <row r="353" spans="1:8" x14ac:dyDescent="0.2">
      <c r="A353" s="240">
        <v>4224</v>
      </c>
      <c r="B353" s="241"/>
      <c r="C353" s="236"/>
      <c r="D353" s="239" t="s">
        <v>244</v>
      </c>
      <c r="E353" s="237"/>
      <c r="F353" s="237"/>
      <c r="G353" s="238"/>
      <c r="H353" s="238"/>
    </row>
    <row r="354" spans="1:8" x14ac:dyDescent="0.2">
      <c r="A354" s="274">
        <v>4225</v>
      </c>
      <c r="B354" s="275"/>
      <c r="C354" s="276"/>
      <c r="D354" s="239" t="s">
        <v>441</v>
      </c>
      <c r="E354" s="237"/>
      <c r="F354" s="238"/>
      <c r="G354" s="238"/>
      <c r="H354" s="238"/>
    </row>
    <row r="355" spans="1:8" ht="25.5" x14ac:dyDescent="0.2">
      <c r="A355" s="274">
        <v>424</v>
      </c>
      <c r="B355" s="275"/>
      <c r="C355" s="276"/>
      <c r="D355" s="236" t="s">
        <v>449</v>
      </c>
      <c r="E355" s="237">
        <f t="shared" ref="E355:G355" si="110">E356</f>
        <v>0</v>
      </c>
      <c r="F355" s="237">
        <f t="shared" si="110"/>
        <v>0</v>
      </c>
      <c r="G355" s="237">
        <f t="shared" si="110"/>
        <v>113.87</v>
      </c>
      <c r="H355" s="238"/>
    </row>
    <row r="356" spans="1:8" x14ac:dyDescent="0.2">
      <c r="A356" s="274">
        <v>4241</v>
      </c>
      <c r="B356" s="275"/>
      <c r="C356" s="276"/>
      <c r="D356" s="236" t="s">
        <v>569</v>
      </c>
      <c r="E356" s="237"/>
      <c r="F356" s="238">
        <f>E356</f>
        <v>0</v>
      </c>
      <c r="G356" s="238">
        <f>64.87+49</f>
        <v>113.87</v>
      </c>
      <c r="H356" s="238"/>
    </row>
    <row r="357" spans="1:8" x14ac:dyDescent="0.2">
      <c r="A357" s="274">
        <v>426</v>
      </c>
      <c r="B357" s="275"/>
      <c r="C357" s="276"/>
      <c r="D357" s="236" t="s">
        <v>246</v>
      </c>
      <c r="E357" s="237">
        <f t="shared" ref="E357:G357" si="111">E358</f>
        <v>0</v>
      </c>
      <c r="F357" s="237">
        <f t="shared" si="111"/>
        <v>0</v>
      </c>
      <c r="G357" s="237">
        <f t="shared" si="111"/>
        <v>0</v>
      </c>
      <c r="H357" s="238"/>
    </row>
    <row r="358" spans="1:8" x14ac:dyDescent="0.2">
      <c r="A358" s="272">
        <v>4262</v>
      </c>
      <c r="B358" s="272"/>
      <c r="C358" s="272"/>
      <c r="D358" s="239" t="s">
        <v>248</v>
      </c>
      <c r="E358" s="237">
        <v>0</v>
      </c>
      <c r="F358" s="238">
        <v>0</v>
      </c>
      <c r="G358" s="238"/>
      <c r="H358" s="238"/>
    </row>
    <row r="359" spans="1:8" x14ac:dyDescent="0.2">
      <c r="A359" s="280" t="s">
        <v>604</v>
      </c>
      <c r="B359" s="280"/>
      <c r="C359" s="280"/>
      <c r="D359" s="233" t="s">
        <v>589</v>
      </c>
      <c r="E359" s="234">
        <f>E360+E397</f>
        <v>100600</v>
      </c>
      <c r="F359" s="234">
        <f>F360+F397</f>
        <v>100600</v>
      </c>
      <c r="G359" s="234">
        <f>G360+G397</f>
        <v>121317.22999999998</v>
      </c>
      <c r="H359" s="235">
        <f t="shared" ref="H359:H368" si="112">G359/F359*100</f>
        <v>120.5936679920477</v>
      </c>
    </row>
    <row r="360" spans="1:8" x14ac:dyDescent="0.2">
      <c r="A360" s="274">
        <v>3</v>
      </c>
      <c r="B360" s="275"/>
      <c r="C360" s="276"/>
      <c r="D360" s="236" t="s">
        <v>82</v>
      </c>
      <c r="E360" s="237">
        <f>E361+E368</f>
        <v>100600</v>
      </c>
      <c r="F360" s="237">
        <f t="shared" ref="F360" si="113">F361+F368</f>
        <v>100600</v>
      </c>
      <c r="G360" s="237">
        <f>G361+G368+G394</f>
        <v>115475.65999999999</v>
      </c>
      <c r="H360" s="238">
        <f t="shared" si="112"/>
        <v>114.78693836978131</v>
      </c>
    </row>
    <row r="361" spans="1:8" x14ac:dyDescent="0.2">
      <c r="A361" s="274">
        <v>31</v>
      </c>
      <c r="B361" s="275"/>
      <c r="C361" s="276"/>
      <c r="D361" s="236" t="s">
        <v>84</v>
      </c>
      <c r="E361" s="237">
        <v>75600</v>
      </c>
      <c r="F361" s="237">
        <v>75600</v>
      </c>
      <c r="G361" s="237">
        <f>G362+G364+G366</f>
        <v>46241.799999999996</v>
      </c>
      <c r="H361" s="238">
        <f t="shared" si="112"/>
        <v>61.166402116402111</v>
      </c>
    </row>
    <row r="362" spans="1:8" x14ac:dyDescent="0.2">
      <c r="A362" s="274">
        <v>311</v>
      </c>
      <c r="B362" s="275"/>
      <c r="C362" s="276"/>
      <c r="D362" s="236" t="s">
        <v>86</v>
      </c>
      <c r="E362" s="237">
        <f>E363</f>
        <v>0</v>
      </c>
      <c r="F362" s="237">
        <f>F363</f>
        <v>0</v>
      </c>
      <c r="G362" s="237">
        <f t="shared" ref="G362" si="114">G363</f>
        <v>38662.49</v>
      </c>
      <c r="H362" s="238"/>
    </row>
    <row r="363" spans="1:8" x14ac:dyDescent="0.2">
      <c r="A363" s="272">
        <v>3111</v>
      </c>
      <c r="B363" s="272"/>
      <c r="C363" s="272"/>
      <c r="D363" s="239" t="s">
        <v>88</v>
      </c>
      <c r="E363" s="237"/>
      <c r="F363" s="238"/>
      <c r="G363" s="238">
        <f>21527.87+17134.62</f>
        <v>38662.49</v>
      </c>
      <c r="H363" s="238"/>
    </row>
    <row r="364" spans="1:8" x14ac:dyDescent="0.2">
      <c r="A364" s="281">
        <v>312</v>
      </c>
      <c r="B364" s="282"/>
      <c r="C364" s="283"/>
      <c r="D364" s="239" t="s">
        <v>92</v>
      </c>
      <c r="E364" s="237">
        <f>E365</f>
        <v>0</v>
      </c>
      <c r="F364" s="237">
        <f t="shared" ref="F364:G364" si="115">F365</f>
        <v>0</v>
      </c>
      <c r="G364" s="237">
        <f t="shared" si="115"/>
        <v>1200</v>
      </c>
      <c r="H364" s="238"/>
    </row>
    <row r="365" spans="1:8" x14ac:dyDescent="0.2">
      <c r="A365" s="281">
        <v>3121</v>
      </c>
      <c r="B365" s="282"/>
      <c r="C365" s="283"/>
      <c r="D365" s="239" t="s">
        <v>92</v>
      </c>
      <c r="E365" s="237"/>
      <c r="F365" s="238"/>
      <c r="G365" s="238">
        <f>300+900</f>
        <v>1200</v>
      </c>
      <c r="H365" s="238"/>
    </row>
    <row r="366" spans="1:8" x14ac:dyDescent="0.2">
      <c r="A366" s="272">
        <v>313</v>
      </c>
      <c r="B366" s="272"/>
      <c r="C366" s="272"/>
      <c r="D366" s="239" t="s">
        <v>95</v>
      </c>
      <c r="E366" s="237">
        <f t="shared" ref="E366:G366" si="116">E367</f>
        <v>0</v>
      </c>
      <c r="F366" s="237">
        <f t="shared" si="116"/>
        <v>0</v>
      </c>
      <c r="G366" s="237">
        <f t="shared" si="116"/>
        <v>6379.3099999999995</v>
      </c>
      <c r="H366" s="238"/>
    </row>
    <row r="367" spans="1:8" x14ac:dyDescent="0.2">
      <c r="A367" s="274">
        <v>3132</v>
      </c>
      <c r="B367" s="275"/>
      <c r="C367" s="276"/>
      <c r="D367" s="239" t="s">
        <v>563</v>
      </c>
      <c r="E367" s="237"/>
      <c r="F367" s="238"/>
      <c r="G367" s="238">
        <f>3552.1+2827.21</f>
        <v>6379.3099999999995</v>
      </c>
      <c r="H367" s="238"/>
    </row>
    <row r="368" spans="1:8" x14ac:dyDescent="0.2">
      <c r="A368" s="274">
        <v>32</v>
      </c>
      <c r="B368" s="275"/>
      <c r="C368" s="276"/>
      <c r="D368" s="236" t="s">
        <v>99</v>
      </c>
      <c r="E368" s="237">
        <v>25000</v>
      </c>
      <c r="F368" s="237">
        <v>25000</v>
      </c>
      <c r="G368" s="237">
        <f>G369+G374+G380+G388+G390</f>
        <v>69231.12999999999</v>
      </c>
      <c r="H368" s="238">
        <f t="shared" si="112"/>
        <v>276.92451999999992</v>
      </c>
    </row>
    <row r="369" spans="1:8" x14ac:dyDescent="0.2">
      <c r="A369" s="274">
        <v>321</v>
      </c>
      <c r="B369" s="275"/>
      <c r="C369" s="276"/>
      <c r="D369" s="236" t="s">
        <v>570</v>
      </c>
      <c r="E369" s="237">
        <f t="shared" ref="E369:G369" si="117">E370+E371+E372+E373</f>
        <v>0</v>
      </c>
      <c r="F369" s="237">
        <f t="shared" si="117"/>
        <v>0</v>
      </c>
      <c r="G369" s="237">
        <f t="shared" si="117"/>
        <v>6529.31</v>
      </c>
      <c r="H369" s="238"/>
    </row>
    <row r="370" spans="1:8" x14ac:dyDescent="0.2">
      <c r="A370" s="272">
        <v>3211</v>
      </c>
      <c r="B370" s="272"/>
      <c r="C370" s="272"/>
      <c r="D370" s="239" t="s">
        <v>103</v>
      </c>
      <c r="E370" s="237"/>
      <c r="F370" s="238"/>
      <c r="G370" s="238">
        <f>105+824+1120+160+568.26+311.4+1327.64+652.38+499.97+491.53+13.3+40</f>
        <v>6113.4800000000005</v>
      </c>
      <c r="H370" s="238"/>
    </row>
    <row r="371" spans="1:8" ht="25.5" x14ac:dyDescent="0.2">
      <c r="A371" s="240">
        <v>3212</v>
      </c>
      <c r="B371" s="241"/>
      <c r="C371" s="236"/>
      <c r="D371" s="239" t="s">
        <v>105</v>
      </c>
      <c r="E371" s="237"/>
      <c r="F371" s="237"/>
      <c r="G371" s="237">
        <f>185.59+120.24</f>
        <v>305.83</v>
      </c>
      <c r="H371" s="238"/>
    </row>
    <row r="372" spans="1:8" x14ac:dyDescent="0.2">
      <c r="A372" s="240">
        <v>3213</v>
      </c>
      <c r="B372" s="241"/>
      <c r="C372" s="236"/>
      <c r="D372" s="239" t="s">
        <v>107</v>
      </c>
      <c r="E372" s="237"/>
      <c r="F372" s="237"/>
      <c r="G372" s="237">
        <v>110</v>
      </c>
      <c r="H372" s="238"/>
    </row>
    <row r="373" spans="1:8" x14ac:dyDescent="0.2">
      <c r="A373" s="240">
        <v>3214</v>
      </c>
      <c r="B373" s="241"/>
      <c r="C373" s="236"/>
      <c r="D373" s="239" t="s">
        <v>579</v>
      </c>
      <c r="E373" s="237">
        <v>0</v>
      </c>
      <c r="F373" s="237">
        <f>E373</f>
        <v>0</v>
      </c>
      <c r="G373" s="237"/>
      <c r="H373" s="238"/>
    </row>
    <row r="374" spans="1:8" x14ac:dyDescent="0.2">
      <c r="A374" s="274">
        <v>322</v>
      </c>
      <c r="B374" s="275"/>
      <c r="C374" s="276"/>
      <c r="D374" s="239" t="s">
        <v>111</v>
      </c>
      <c r="E374" s="237">
        <f>SUM(E375:E379)</f>
        <v>0</v>
      </c>
      <c r="F374" s="237">
        <f t="shared" ref="F374:G374" si="118">SUM(F375:F379)</f>
        <v>0</v>
      </c>
      <c r="G374" s="237">
        <f t="shared" si="118"/>
        <v>157</v>
      </c>
      <c r="H374" s="238"/>
    </row>
    <row r="375" spans="1:8" x14ac:dyDescent="0.2">
      <c r="A375" s="274">
        <v>3221</v>
      </c>
      <c r="B375" s="275"/>
      <c r="C375" s="276"/>
      <c r="D375" s="236" t="s">
        <v>113</v>
      </c>
      <c r="E375" s="237"/>
      <c r="F375" s="238"/>
      <c r="G375" s="238">
        <v>108</v>
      </c>
      <c r="H375" s="238"/>
    </row>
    <row r="376" spans="1:8" x14ac:dyDescent="0.2">
      <c r="A376" s="274">
        <v>3222</v>
      </c>
      <c r="B376" s="275"/>
      <c r="C376" s="276"/>
      <c r="D376" s="236" t="s">
        <v>382</v>
      </c>
      <c r="E376" s="237"/>
      <c r="F376" s="238"/>
      <c r="G376" s="238">
        <v>49</v>
      </c>
      <c r="H376" s="238"/>
    </row>
    <row r="377" spans="1:8" ht="25.5" x14ac:dyDescent="0.2">
      <c r="A377" s="240">
        <v>3224</v>
      </c>
      <c r="B377" s="241"/>
      <c r="C377" s="236"/>
      <c r="D377" s="239" t="s">
        <v>117</v>
      </c>
      <c r="E377" s="237"/>
      <c r="F377" s="237"/>
      <c r="G377" s="237"/>
      <c r="H377" s="238"/>
    </row>
    <row r="378" spans="1:8" x14ac:dyDescent="0.2">
      <c r="A378" s="272">
        <v>3225</v>
      </c>
      <c r="B378" s="272"/>
      <c r="C378" s="272"/>
      <c r="D378" s="239" t="s">
        <v>564</v>
      </c>
      <c r="E378" s="237"/>
      <c r="F378" s="237"/>
      <c r="G378" s="237"/>
      <c r="H378" s="238"/>
    </row>
    <row r="379" spans="1:8" x14ac:dyDescent="0.2">
      <c r="A379" s="272">
        <v>3227</v>
      </c>
      <c r="B379" s="272"/>
      <c r="C379" s="272"/>
      <c r="D379" s="239" t="s">
        <v>565</v>
      </c>
      <c r="E379" s="237"/>
      <c r="F379" s="237"/>
      <c r="G379" s="237"/>
      <c r="H379" s="238"/>
    </row>
    <row r="380" spans="1:8" x14ac:dyDescent="0.2">
      <c r="A380" s="274">
        <v>323</v>
      </c>
      <c r="B380" s="275"/>
      <c r="C380" s="276"/>
      <c r="D380" s="239" t="s">
        <v>123</v>
      </c>
      <c r="E380" s="237">
        <f>E383+E387+E385++E381+E382+E384</f>
        <v>0</v>
      </c>
      <c r="F380" s="237">
        <f t="shared" ref="F380" si="119">F383+F387+F385++F381+F382+F384</f>
        <v>0</v>
      </c>
      <c r="G380" s="237">
        <f>G383+G387+G385++G381+G382+G384+G386</f>
        <v>58240.689999999995</v>
      </c>
      <c r="H380" s="238"/>
    </row>
    <row r="381" spans="1:8" x14ac:dyDescent="0.2">
      <c r="A381" s="240">
        <v>3231</v>
      </c>
      <c r="B381" s="241"/>
      <c r="C381" s="236"/>
      <c r="D381" s="236" t="s">
        <v>125</v>
      </c>
      <c r="E381" s="237"/>
      <c r="F381" s="237"/>
      <c r="G381" s="237">
        <f>12.4+1187.5</f>
        <v>1199.9000000000001</v>
      </c>
      <c r="H381" s="238"/>
    </row>
    <row r="382" spans="1:8" x14ac:dyDescent="0.2">
      <c r="A382" s="240">
        <v>3232</v>
      </c>
      <c r="B382" s="241"/>
      <c r="C382" s="236"/>
      <c r="D382" s="236" t="s">
        <v>127</v>
      </c>
      <c r="E382" s="237"/>
      <c r="F382" s="237"/>
      <c r="G382" s="237"/>
      <c r="H382" s="238"/>
    </row>
    <row r="383" spans="1:8" x14ac:dyDescent="0.2">
      <c r="A383" s="274">
        <v>3233</v>
      </c>
      <c r="B383" s="275"/>
      <c r="C383" s="276"/>
      <c r="D383" s="236" t="s">
        <v>129</v>
      </c>
      <c r="E383" s="237"/>
      <c r="F383" s="238"/>
      <c r="G383" s="238">
        <v>2251</v>
      </c>
      <c r="H383" s="238"/>
    </row>
    <row r="384" spans="1:8" x14ac:dyDescent="0.2">
      <c r="A384" s="240">
        <v>3235</v>
      </c>
      <c r="B384" s="241"/>
      <c r="C384" s="236"/>
      <c r="D384" s="239" t="s">
        <v>133</v>
      </c>
      <c r="E384" s="237"/>
      <c r="F384" s="238"/>
      <c r="G384" s="238">
        <f>1467.95+62.5</f>
        <v>1530.45</v>
      </c>
      <c r="H384" s="238"/>
    </row>
    <row r="385" spans="1:8" x14ac:dyDescent="0.2">
      <c r="A385" s="240">
        <v>3237</v>
      </c>
      <c r="B385" s="241"/>
      <c r="C385" s="236"/>
      <c r="D385" s="236" t="s">
        <v>137</v>
      </c>
      <c r="E385" s="237"/>
      <c r="F385" s="238"/>
      <c r="G385" s="238">
        <f>630+18973.02+26048.57+1000</f>
        <v>46651.59</v>
      </c>
      <c r="H385" s="238"/>
    </row>
    <row r="386" spans="1:8" x14ac:dyDescent="0.2">
      <c r="A386" s="240">
        <v>3238</v>
      </c>
      <c r="B386" s="241"/>
      <c r="C386" s="236"/>
      <c r="D386" s="236" t="s">
        <v>139</v>
      </c>
      <c r="E386" s="237"/>
      <c r="F386" s="238"/>
      <c r="G386" s="238"/>
      <c r="H386" s="238"/>
    </row>
    <row r="387" spans="1:8" x14ac:dyDescent="0.2">
      <c r="A387" s="274">
        <v>3239</v>
      </c>
      <c r="B387" s="275"/>
      <c r="C387" s="276"/>
      <c r="D387" s="236" t="s">
        <v>141</v>
      </c>
      <c r="E387" s="237"/>
      <c r="F387" s="238"/>
      <c r="G387" s="238">
        <f>640+3303.75+2664</f>
        <v>6607.75</v>
      </c>
      <c r="H387" s="238"/>
    </row>
    <row r="388" spans="1:8" ht="25.5" x14ac:dyDescent="0.2">
      <c r="A388" s="272">
        <v>324</v>
      </c>
      <c r="B388" s="272"/>
      <c r="C388" s="272"/>
      <c r="D388" s="239" t="s">
        <v>567</v>
      </c>
      <c r="E388" s="237">
        <f>E389</f>
        <v>0</v>
      </c>
      <c r="F388" s="237">
        <f t="shared" ref="F388:G388" si="120">F389</f>
        <v>0</v>
      </c>
      <c r="G388" s="237">
        <f t="shared" si="120"/>
        <v>3854.8600000000006</v>
      </c>
      <c r="H388" s="238"/>
    </row>
    <row r="389" spans="1:8" ht="25.5" x14ac:dyDescent="0.2">
      <c r="A389" s="272">
        <v>3241</v>
      </c>
      <c r="B389" s="272"/>
      <c r="C389" s="272"/>
      <c r="D389" s="239" t="s">
        <v>567</v>
      </c>
      <c r="E389" s="237"/>
      <c r="F389" s="238"/>
      <c r="G389" s="238">
        <f>2699.01+869.76+286.09</f>
        <v>3854.8600000000006</v>
      </c>
      <c r="H389" s="238"/>
    </row>
    <row r="390" spans="1:8" x14ac:dyDescent="0.2">
      <c r="A390" s="274">
        <v>329</v>
      </c>
      <c r="B390" s="275"/>
      <c r="C390" s="276"/>
      <c r="D390" s="239" t="s">
        <v>146</v>
      </c>
      <c r="E390" s="237">
        <f>SUM(E391:E393)</f>
        <v>0</v>
      </c>
      <c r="F390" s="237">
        <f>SUM(F391:F393)</f>
        <v>0</v>
      </c>
      <c r="G390" s="237">
        <f t="shared" ref="G390" si="121">SUM(G391:G393)</f>
        <v>449.27</v>
      </c>
      <c r="H390" s="238"/>
    </row>
    <row r="391" spans="1:8" x14ac:dyDescent="0.2">
      <c r="A391" s="274">
        <v>3293</v>
      </c>
      <c r="B391" s="275"/>
      <c r="C391" s="276"/>
      <c r="D391" s="236" t="s">
        <v>152</v>
      </c>
      <c r="E391" s="237"/>
      <c r="F391" s="238"/>
      <c r="G391" s="238">
        <f>130+319.27</f>
        <v>449.27</v>
      </c>
      <c r="H391" s="238"/>
    </row>
    <row r="392" spans="1:8" x14ac:dyDescent="0.2">
      <c r="A392" s="240">
        <v>3294</v>
      </c>
      <c r="B392" s="241"/>
      <c r="C392" s="236"/>
      <c r="D392" s="236" t="s">
        <v>154</v>
      </c>
      <c r="E392" s="237"/>
      <c r="F392" s="238"/>
      <c r="G392" s="238"/>
      <c r="H392" s="238"/>
    </row>
    <row r="393" spans="1:8" x14ac:dyDescent="0.2">
      <c r="A393" s="272">
        <v>3299</v>
      </c>
      <c r="B393" s="272"/>
      <c r="C393" s="272"/>
      <c r="D393" s="239" t="s">
        <v>146</v>
      </c>
      <c r="E393" s="237"/>
      <c r="F393" s="238"/>
      <c r="G393" s="238"/>
      <c r="H393" s="238"/>
    </row>
    <row r="394" spans="1:8" x14ac:dyDescent="0.2">
      <c r="A394" s="274">
        <v>34</v>
      </c>
      <c r="B394" s="275"/>
      <c r="C394" s="276"/>
      <c r="D394" s="236" t="s">
        <v>161</v>
      </c>
      <c r="E394" s="237"/>
      <c r="F394" s="237"/>
      <c r="G394" s="237">
        <f>+G395</f>
        <v>2.73</v>
      </c>
      <c r="H394" s="238"/>
    </row>
    <row r="395" spans="1:8" x14ac:dyDescent="0.2">
      <c r="A395" s="240">
        <v>343</v>
      </c>
      <c r="B395" s="241"/>
      <c r="C395" s="236"/>
      <c r="D395" s="236" t="s">
        <v>163</v>
      </c>
      <c r="E395" s="237"/>
      <c r="F395" s="237"/>
      <c r="G395" s="237">
        <f>+G396</f>
        <v>2.73</v>
      </c>
      <c r="H395" s="238"/>
    </row>
    <row r="396" spans="1:8" x14ac:dyDescent="0.2">
      <c r="A396" s="274">
        <v>3431</v>
      </c>
      <c r="B396" s="275"/>
      <c r="C396" s="276"/>
      <c r="D396" s="236" t="s">
        <v>165</v>
      </c>
      <c r="E396" s="237"/>
      <c r="F396" s="237"/>
      <c r="G396" s="237">
        <f>2.12+0.61</f>
        <v>2.73</v>
      </c>
      <c r="H396" s="238"/>
    </row>
    <row r="397" spans="1:8" x14ac:dyDescent="0.2">
      <c r="A397" s="272">
        <v>4</v>
      </c>
      <c r="B397" s="272"/>
      <c r="C397" s="272"/>
      <c r="D397" s="239" t="s">
        <v>227</v>
      </c>
      <c r="E397" s="237">
        <f t="shared" ref="E397:G397" si="122">E401+E398</f>
        <v>0</v>
      </c>
      <c r="F397" s="237">
        <f t="shared" si="122"/>
        <v>0</v>
      </c>
      <c r="G397" s="237">
        <f t="shared" si="122"/>
        <v>5841.57</v>
      </c>
      <c r="H397" s="238"/>
    </row>
    <row r="398" spans="1:8" ht="25.5" x14ac:dyDescent="0.2">
      <c r="A398" s="272">
        <v>41</v>
      </c>
      <c r="B398" s="272"/>
      <c r="C398" s="272"/>
      <c r="D398" s="239" t="s">
        <v>575</v>
      </c>
      <c r="E398" s="237">
        <f t="shared" ref="E398:G399" si="123">E399</f>
        <v>0</v>
      </c>
      <c r="F398" s="237">
        <f t="shared" si="123"/>
        <v>0</v>
      </c>
      <c r="G398" s="237">
        <f t="shared" si="123"/>
        <v>0</v>
      </c>
      <c r="H398" s="238"/>
    </row>
    <row r="399" spans="1:8" x14ac:dyDescent="0.2">
      <c r="A399" s="274">
        <v>412</v>
      </c>
      <c r="B399" s="275"/>
      <c r="C399" s="276"/>
      <c r="D399" s="239" t="s">
        <v>230</v>
      </c>
      <c r="E399" s="237">
        <f t="shared" si="123"/>
        <v>0</v>
      </c>
      <c r="F399" s="237">
        <f t="shared" si="123"/>
        <v>0</v>
      </c>
      <c r="G399" s="237">
        <f t="shared" si="123"/>
        <v>0</v>
      </c>
      <c r="H399" s="238"/>
    </row>
    <row r="400" spans="1:8" x14ac:dyDescent="0.2">
      <c r="A400" s="274">
        <v>4123</v>
      </c>
      <c r="B400" s="275"/>
      <c r="C400" s="276"/>
      <c r="D400" s="236" t="s">
        <v>232</v>
      </c>
      <c r="E400" s="237"/>
      <c r="F400" s="237"/>
      <c r="G400" s="237"/>
      <c r="H400" s="238"/>
    </row>
    <row r="401" spans="1:8" ht="25.5" x14ac:dyDescent="0.2">
      <c r="A401" s="274">
        <v>42</v>
      </c>
      <c r="B401" s="275"/>
      <c r="C401" s="276"/>
      <c r="D401" s="236" t="s">
        <v>234</v>
      </c>
      <c r="E401" s="237">
        <f>E402+E406+E408</f>
        <v>0</v>
      </c>
      <c r="F401" s="237">
        <f>F402+F406+F408</f>
        <v>0</v>
      </c>
      <c r="G401" s="237">
        <f t="shared" ref="G401" si="124">G402+G406+G408</f>
        <v>5841.57</v>
      </c>
      <c r="H401" s="238"/>
    </row>
    <row r="402" spans="1:8" x14ac:dyDescent="0.2">
      <c r="A402" s="274">
        <v>422</v>
      </c>
      <c r="B402" s="275"/>
      <c r="C402" s="276"/>
      <c r="D402" s="236" t="s">
        <v>240</v>
      </c>
      <c r="E402" s="237">
        <f>E403+E405</f>
        <v>0</v>
      </c>
      <c r="F402" s="237">
        <f>F403+F404+F405</f>
        <v>0</v>
      </c>
      <c r="G402" s="237">
        <f>G403+G404</f>
        <v>5471</v>
      </c>
      <c r="H402" s="238"/>
    </row>
    <row r="403" spans="1:8" x14ac:dyDescent="0.2">
      <c r="A403" s="272">
        <v>4221</v>
      </c>
      <c r="B403" s="272"/>
      <c r="C403" s="272"/>
      <c r="D403" s="239" t="s">
        <v>242</v>
      </c>
      <c r="E403" s="237"/>
      <c r="F403" s="238"/>
      <c r="G403" s="238">
        <f>1671+3800</f>
        <v>5471</v>
      </c>
      <c r="H403" s="238"/>
    </row>
    <row r="404" spans="1:8" x14ac:dyDescent="0.2">
      <c r="A404" s="240">
        <v>4224</v>
      </c>
      <c r="B404" s="241"/>
      <c r="C404" s="236"/>
      <c r="D404" s="239" t="s">
        <v>244</v>
      </c>
      <c r="E404" s="237"/>
      <c r="F404" s="237"/>
      <c r="G404" s="238"/>
      <c r="H404" s="238"/>
    </row>
    <row r="405" spans="1:8" x14ac:dyDescent="0.2">
      <c r="A405" s="274">
        <v>4225</v>
      </c>
      <c r="B405" s="275"/>
      <c r="C405" s="276"/>
      <c r="D405" s="239" t="s">
        <v>441</v>
      </c>
      <c r="E405" s="237"/>
      <c r="F405" s="238"/>
      <c r="G405" s="238"/>
      <c r="H405" s="238"/>
    </row>
    <row r="406" spans="1:8" ht="25.5" x14ac:dyDescent="0.2">
      <c r="A406" s="274">
        <v>424</v>
      </c>
      <c r="B406" s="275"/>
      <c r="C406" s="276"/>
      <c r="D406" s="236" t="s">
        <v>449</v>
      </c>
      <c r="E406" s="237">
        <f t="shared" ref="E406:G406" si="125">E407</f>
        <v>0</v>
      </c>
      <c r="F406" s="237">
        <f t="shared" si="125"/>
        <v>0</v>
      </c>
      <c r="G406" s="237">
        <f t="shared" si="125"/>
        <v>370.57</v>
      </c>
      <c r="H406" s="238"/>
    </row>
    <row r="407" spans="1:8" x14ac:dyDescent="0.2">
      <c r="A407" s="274">
        <v>4241</v>
      </c>
      <c r="B407" s="275"/>
      <c r="C407" s="276"/>
      <c r="D407" s="236" t="s">
        <v>569</v>
      </c>
      <c r="E407" s="237"/>
      <c r="F407" s="238">
        <f>E407</f>
        <v>0</v>
      </c>
      <c r="G407" s="238">
        <f>226.18+144.39</f>
        <v>370.57</v>
      </c>
      <c r="H407" s="238"/>
    </row>
    <row r="408" spans="1:8" x14ac:dyDescent="0.2">
      <c r="A408" s="274">
        <v>426</v>
      </c>
      <c r="B408" s="275"/>
      <c r="C408" s="276"/>
      <c r="D408" s="236" t="s">
        <v>246</v>
      </c>
      <c r="E408" s="237">
        <f t="shared" ref="E408:G408" si="126">E409</f>
        <v>0</v>
      </c>
      <c r="F408" s="237">
        <f t="shared" si="126"/>
        <v>0</v>
      </c>
      <c r="G408" s="237">
        <f t="shared" si="126"/>
        <v>0</v>
      </c>
      <c r="H408" s="238"/>
    </row>
    <row r="409" spans="1:8" x14ac:dyDescent="0.2">
      <c r="A409" s="272">
        <v>4262</v>
      </c>
      <c r="B409" s="272"/>
      <c r="C409" s="272"/>
      <c r="D409" s="239" t="s">
        <v>248</v>
      </c>
      <c r="E409" s="237">
        <v>0</v>
      </c>
      <c r="F409" s="238">
        <v>0</v>
      </c>
      <c r="G409" s="238"/>
      <c r="H409" s="238"/>
    </row>
    <row r="410" spans="1:8" ht="62.45" customHeight="1" x14ac:dyDescent="0.2">
      <c r="A410" s="277" t="s">
        <v>581</v>
      </c>
      <c r="B410" s="278"/>
      <c r="C410" s="279"/>
      <c r="D410" s="230" t="s">
        <v>586</v>
      </c>
      <c r="E410" s="231">
        <f>+E411</f>
        <v>357073</v>
      </c>
      <c r="F410" s="231">
        <f t="shared" ref="F410:G410" si="127">+F411</f>
        <v>357073</v>
      </c>
      <c r="G410" s="232">
        <f t="shared" si="127"/>
        <v>115806.48000000001</v>
      </c>
      <c r="H410" s="232"/>
    </row>
    <row r="411" spans="1:8" ht="25.5" x14ac:dyDescent="0.2">
      <c r="A411" s="280" t="s">
        <v>605</v>
      </c>
      <c r="B411" s="280"/>
      <c r="C411" s="280"/>
      <c r="D411" s="233" t="s">
        <v>590</v>
      </c>
      <c r="E411" s="234">
        <f>E412+E458</f>
        <v>357073</v>
      </c>
      <c r="F411" s="234">
        <f>F412+F458</f>
        <v>357073</v>
      </c>
      <c r="G411" s="234">
        <f>G412+G458</f>
        <v>115806.48000000001</v>
      </c>
      <c r="H411" s="235">
        <f t="shared" ref="H411:H420" si="128">G411/F411*100</f>
        <v>32.432158130130254</v>
      </c>
    </row>
    <row r="412" spans="1:8" x14ac:dyDescent="0.2">
      <c r="A412" s="274">
        <v>3</v>
      </c>
      <c r="B412" s="275"/>
      <c r="C412" s="276"/>
      <c r="D412" s="236" t="s">
        <v>82</v>
      </c>
      <c r="E412" s="237">
        <f>E413+E420+E448+E452+E455</f>
        <v>239261</v>
      </c>
      <c r="F412" s="237">
        <f>F413+F420+F448+F452+F455</f>
        <v>239261</v>
      </c>
      <c r="G412" s="237">
        <f>G413+G420+G448+G452+G455</f>
        <v>44313.390000000007</v>
      </c>
      <c r="H412" s="238">
        <f t="shared" si="128"/>
        <v>18.520941565905019</v>
      </c>
    </row>
    <row r="413" spans="1:8" x14ac:dyDescent="0.2">
      <c r="A413" s="274">
        <v>31</v>
      </c>
      <c r="B413" s="275"/>
      <c r="C413" s="276"/>
      <c r="D413" s="236" t="s">
        <v>84</v>
      </c>
      <c r="E413" s="237">
        <f>E414+E416+E418</f>
        <v>0</v>
      </c>
      <c r="F413" s="237">
        <f t="shared" ref="F413:G413" si="129">F414+F416+F418</f>
        <v>0</v>
      </c>
      <c r="G413" s="237">
        <f t="shared" si="129"/>
        <v>0</v>
      </c>
      <c r="H413" s="238"/>
    </row>
    <row r="414" spans="1:8" x14ac:dyDescent="0.2">
      <c r="A414" s="274">
        <v>311</v>
      </c>
      <c r="B414" s="275"/>
      <c r="C414" s="276"/>
      <c r="D414" s="236" t="s">
        <v>86</v>
      </c>
      <c r="E414" s="237">
        <f>E415</f>
        <v>0</v>
      </c>
      <c r="F414" s="237">
        <f t="shared" ref="F414:G414" si="130">F415</f>
        <v>0</v>
      </c>
      <c r="G414" s="237">
        <f t="shared" si="130"/>
        <v>0</v>
      </c>
      <c r="H414" s="238"/>
    </row>
    <row r="415" spans="1:8" x14ac:dyDescent="0.2">
      <c r="A415" s="272">
        <v>3111</v>
      </c>
      <c r="B415" s="272"/>
      <c r="C415" s="272"/>
      <c r="D415" s="239" t="s">
        <v>88</v>
      </c>
      <c r="E415" s="237"/>
      <c r="F415" s="238"/>
      <c r="G415" s="238"/>
      <c r="H415" s="238"/>
    </row>
    <row r="416" spans="1:8" x14ac:dyDescent="0.2">
      <c r="A416" s="281">
        <v>312</v>
      </c>
      <c r="B416" s="282"/>
      <c r="C416" s="283"/>
      <c r="D416" s="239" t="s">
        <v>92</v>
      </c>
      <c r="E416" s="237">
        <f>E417</f>
        <v>0</v>
      </c>
      <c r="F416" s="237">
        <f t="shared" ref="F416:G416" si="131">F417</f>
        <v>0</v>
      </c>
      <c r="G416" s="237">
        <f t="shared" si="131"/>
        <v>0</v>
      </c>
      <c r="H416" s="238"/>
    </row>
    <row r="417" spans="1:8" x14ac:dyDescent="0.2">
      <c r="A417" s="281">
        <v>3121</v>
      </c>
      <c r="B417" s="282"/>
      <c r="C417" s="283"/>
      <c r="D417" s="239" t="s">
        <v>92</v>
      </c>
      <c r="E417" s="237"/>
      <c r="F417" s="238"/>
      <c r="G417" s="238"/>
      <c r="H417" s="238"/>
    </row>
    <row r="418" spans="1:8" x14ac:dyDescent="0.2">
      <c r="A418" s="272">
        <v>313</v>
      </c>
      <c r="B418" s="272"/>
      <c r="C418" s="272"/>
      <c r="D418" s="239" t="s">
        <v>95</v>
      </c>
      <c r="E418" s="237">
        <f>E419</f>
        <v>0</v>
      </c>
      <c r="F418" s="237">
        <f t="shared" ref="F418:G418" si="132">F419</f>
        <v>0</v>
      </c>
      <c r="G418" s="237">
        <f t="shared" si="132"/>
        <v>0</v>
      </c>
      <c r="H418" s="238"/>
    </row>
    <row r="419" spans="1:8" x14ac:dyDescent="0.2">
      <c r="A419" s="274">
        <v>3132</v>
      </c>
      <c r="B419" s="275"/>
      <c r="C419" s="276"/>
      <c r="D419" s="239" t="s">
        <v>563</v>
      </c>
      <c r="E419" s="237"/>
      <c r="F419" s="238"/>
      <c r="G419" s="238"/>
      <c r="H419" s="238"/>
    </row>
    <row r="420" spans="1:8" x14ac:dyDescent="0.2">
      <c r="A420" s="274">
        <v>32</v>
      </c>
      <c r="B420" s="275"/>
      <c r="C420" s="276"/>
      <c r="D420" s="236" t="s">
        <v>99</v>
      </c>
      <c r="E420" s="237">
        <v>239261</v>
      </c>
      <c r="F420" s="237">
        <v>239261</v>
      </c>
      <c r="G420" s="237">
        <f>G421+G426+G433+G441+G443</f>
        <v>44219.130000000005</v>
      </c>
      <c r="H420" s="238">
        <f t="shared" si="128"/>
        <v>18.481545258107257</v>
      </c>
    </row>
    <row r="421" spans="1:8" x14ac:dyDescent="0.2">
      <c r="A421" s="274">
        <v>321</v>
      </c>
      <c r="B421" s="275"/>
      <c r="C421" s="276"/>
      <c r="D421" s="236" t="s">
        <v>570</v>
      </c>
      <c r="E421" s="237">
        <f>SUM(E422:E425)</f>
        <v>0</v>
      </c>
      <c r="F421" s="237">
        <f>E421</f>
        <v>0</v>
      </c>
      <c r="G421" s="237">
        <f>SUM(G422:G425)</f>
        <v>26098.82</v>
      </c>
      <c r="H421" s="238"/>
    </row>
    <row r="422" spans="1:8" x14ac:dyDescent="0.2">
      <c r="A422" s="272">
        <v>3211</v>
      </c>
      <c r="B422" s="272"/>
      <c r="C422" s="272"/>
      <c r="D422" s="239" t="s">
        <v>103</v>
      </c>
      <c r="E422" s="237"/>
      <c r="F422" s="237"/>
      <c r="G422" s="238">
        <f>1245+3339.63+1320.22+4679.11+3203.67+6014.97+133.95</f>
        <v>19936.55</v>
      </c>
      <c r="H422" s="238"/>
    </row>
    <row r="423" spans="1:8" ht="25.5" x14ac:dyDescent="0.2">
      <c r="A423" s="274">
        <v>3212</v>
      </c>
      <c r="B423" s="275"/>
      <c r="C423" s="276"/>
      <c r="D423" s="239" t="s">
        <v>572</v>
      </c>
      <c r="E423" s="237"/>
      <c r="F423" s="237"/>
      <c r="G423" s="238"/>
      <c r="H423" s="238"/>
    </row>
    <row r="424" spans="1:8" x14ac:dyDescent="0.2">
      <c r="A424" s="272">
        <v>3213</v>
      </c>
      <c r="B424" s="272"/>
      <c r="C424" s="272"/>
      <c r="D424" s="239" t="s">
        <v>107</v>
      </c>
      <c r="E424" s="237"/>
      <c r="F424" s="237"/>
      <c r="G424" s="238">
        <f>5659.27+503</f>
        <v>6162.27</v>
      </c>
      <c r="H424" s="238"/>
    </row>
    <row r="425" spans="1:8" x14ac:dyDescent="0.2">
      <c r="A425" s="274">
        <v>3214</v>
      </c>
      <c r="B425" s="275"/>
      <c r="C425" s="276"/>
      <c r="D425" s="239" t="s">
        <v>109</v>
      </c>
      <c r="E425" s="237"/>
      <c r="F425" s="237"/>
      <c r="G425" s="238"/>
      <c r="H425" s="238"/>
    </row>
    <row r="426" spans="1:8" x14ac:dyDescent="0.2">
      <c r="A426" s="274">
        <v>322</v>
      </c>
      <c r="B426" s="275"/>
      <c r="C426" s="276"/>
      <c r="D426" s="239" t="s">
        <v>111</v>
      </c>
      <c r="E426" s="237">
        <f>SUM(E427:E432)</f>
        <v>0</v>
      </c>
      <c r="F426" s="237">
        <f t="shared" ref="F426" si="133">SUM(F427:F432)</f>
        <v>0</v>
      </c>
      <c r="G426" s="237">
        <f>SUM(G427:G432)</f>
        <v>1006.75</v>
      </c>
      <c r="H426" s="238"/>
    </row>
    <row r="427" spans="1:8" x14ac:dyDescent="0.2">
      <c r="A427" s="274">
        <v>3221</v>
      </c>
      <c r="B427" s="275"/>
      <c r="C427" s="276"/>
      <c r="D427" s="236" t="s">
        <v>113</v>
      </c>
      <c r="E427" s="237"/>
      <c r="F427" s="238"/>
      <c r="G427" s="238">
        <f>15.56+553</f>
        <v>568.55999999999995</v>
      </c>
      <c r="H427" s="238"/>
    </row>
    <row r="428" spans="1:8" x14ac:dyDescent="0.2">
      <c r="A428" s="274">
        <v>3222</v>
      </c>
      <c r="B428" s="275"/>
      <c r="C428" s="276"/>
      <c r="D428" s="236" t="s">
        <v>382</v>
      </c>
      <c r="E428" s="237"/>
      <c r="F428" s="238"/>
      <c r="G428" s="238"/>
      <c r="H428" s="238"/>
    </row>
    <row r="429" spans="1:8" x14ac:dyDescent="0.2">
      <c r="A429" s="274">
        <v>3223</v>
      </c>
      <c r="B429" s="275"/>
      <c r="C429" s="276"/>
      <c r="D429" s="236" t="s">
        <v>115</v>
      </c>
      <c r="E429" s="237"/>
      <c r="F429" s="238"/>
      <c r="G429" s="238"/>
      <c r="H429" s="238"/>
    </row>
    <row r="430" spans="1:8" ht="25.5" x14ac:dyDescent="0.2">
      <c r="A430" s="272">
        <v>3224</v>
      </c>
      <c r="B430" s="272"/>
      <c r="C430" s="272"/>
      <c r="D430" s="239" t="s">
        <v>117</v>
      </c>
      <c r="E430" s="237"/>
      <c r="F430" s="238"/>
      <c r="G430" s="238"/>
      <c r="H430" s="238"/>
    </row>
    <row r="431" spans="1:8" x14ac:dyDescent="0.2">
      <c r="A431" s="272">
        <v>3225</v>
      </c>
      <c r="B431" s="272"/>
      <c r="C431" s="272"/>
      <c r="D431" s="239" t="s">
        <v>564</v>
      </c>
      <c r="E431" s="237"/>
      <c r="F431" s="238"/>
      <c r="G431" s="238">
        <v>438.19</v>
      </c>
      <c r="H431" s="238"/>
    </row>
    <row r="432" spans="1:8" x14ac:dyDescent="0.2">
      <c r="A432" s="272">
        <v>3227</v>
      </c>
      <c r="B432" s="272"/>
      <c r="C432" s="272"/>
      <c r="D432" s="239" t="s">
        <v>565</v>
      </c>
      <c r="E432" s="237"/>
      <c r="F432" s="238"/>
      <c r="G432" s="238"/>
      <c r="H432" s="238"/>
    </row>
    <row r="433" spans="1:8" x14ac:dyDescent="0.2">
      <c r="A433" s="274">
        <v>323</v>
      </c>
      <c r="B433" s="275"/>
      <c r="C433" s="276"/>
      <c r="D433" s="239" t="s">
        <v>123</v>
      </c>
      <c r="E433" s="237">
        <f>SUM(E434:E440)</f>
        <v>0</v>
      </c>
      <c r="F433" s="237">
        <f>SUM(F434:F440)</f>
        <v>0</v>
      </c>
      <c r="G433" s="237">
        <f>SUM(G434:G440)</f>
        <v>7693.6600000000008</v>
      </c>
      <c r="H433" s="238"/>
    </row>
    <row r="434" spans="1:8" x14ac:dyDescent="0.2">
      <c r="A434" s="274">
        <v>3231</v>
      </c>
      <c r="B434" s="275"/>
      <c r="C434" s="276"/>
      <c r="D434" s="236" t="s">
        <v>125</v>
      </c>
      <c r="E434" s="237"/>
      <c r="F434" s="238"/>
      <c r="G434" s="238">
        <v>35.25</v>
      </c>
      <c r="H434" s="238"/>
    </row>
    <row r="435" spans="1:8" x14ac:dyDescent="0.2">
      <c r="A435" s="274">
        <v>3232</v>
      </c>
      <c r="B435" s="275"/>
      <c r="C435" s="276"/>
      <c r="D435" s="236" t="s">
        <v>127</v>
      </c>
      <c r="E435" s="237"/>
      <c r="F435" s="238"/>
      <c r="G435" s="238"/>
      <c r="H435" s="238"/>
    </row>
    <row r="436" spans="1:8" x14ac:dyDescent="0.2">
      <c r="A436" s="274">
        <v>3233</v>
      </c>
      <c r="B436" s="275"/>
      <c r="C436" s="276"/>
      <c r="D436" s="236" t="s">
        <v>129</v>
      </c>
      <c r="E436" s="237"/>
      <c r="F436" s="238"/>
      <c r="G436" s="238"/>
      <c r="H436" s="238"/>
    </row>
    <row r="437" spans="1:8" x14ac:dyDescent="0.2">
      <c r="A437" s="272">
        <v>3235</v>
      </c>
      <c r="B437" s="272"/>
      <c r="C437" s="272"/>
      <c r="D437" s="239" t="s">
        <v>133</v>
      </c>
      <c r="E437" s="237"/>
      <c r="F437" s="238"/>
      <c r="G437" s="238">
        <f>1684.69+2000</f>
        <v>3684.69</v>
      </c>
      <c r="H437" s="238"/>
    </row>
    <row r="438" spans="1:8" x14ac:dyDescent="0.2">
      <c r="A438" s="274">
        <v>3237</v>
      </c>
      <c r="B438" s="275"/>
      <c r="C438" s="276"/>
      <c r="D438" s="236" t="s">
        <v>137</v>
      </c>
      <c r="E438" s="237"/>
      <c r="F438" s="238"/>
      <c r="G438" s="238">
        <f>825.45+1274.4+316.86</f>
        <v>2416.7100000000005</v>
      </c>
      <c r="H438" s="238"/>
    </row>
    <row r="439" spans="1:8" x14ac:dyDescent="0.2">
      <c r="A439" s="240">
        <v>3238</v>
      </c>
      <c r="B439" s="241"/>
      <c r="C439" s="236"/>
      <c r="D439" s="236" t="s">
        <v>139</v>
      </c>
      <c r="E439" s="237"/>
      <c r="F439" s="238"/>
      <c r="G439" s="238">
        <v>530.25</v>
      </c>
      <c r="H439" s="238"/>
    </row>
    <row r="440" spans="1:8" x14ac:dyDescent="0.2">
      <c r="A440" s="274">
        <v>3239</v>
      </c>
      <c r="B440" s="275"/>
      <c r="C440" s="276"/>
      <c r="D440" s="236" t="s">
        <v>141</v>
      </c>
      <c r="E440" s="237"/>
      <c r="F440" s="238"/>
      <c r="G440" s="238">
        <f>286.96+739.8</f>
        <v>1026.76</v>
      </c>
      <c r="H440" s="238"/>
    </row>
    <row r="441" spans="1:8" ht="25.5" x14ac:dyDescent="0.2">
      <c r="A441" s="272">
        <v>324</v>
      </c>
      <c r="B441" s="272"/>
      <c r="C441" s="272"/>
      <c r="D441" s="239" t="s">
        <v>567</v>
      </c>
      <c r="E441" s="237">
        <f>E442</f>
        <v>0</v>
      </c>
      <c r="F441" s="237">
        <f t="shared" ref="F441:G441" si="134">F442</f>
        <v>0</v>
      </c>
      <c r="G441" s="237">
        <f t="shared" si="134"/>
        <v>7812.36</v>
      </c>
      <c r="H441" s="238"/>
    </row>
    <row r="442" spans="1:8" ht="25.5" x14ac:dyDescent="0.2">
      <c r="A442" s="272">
        <v>3241</v>
      </c>
      <c r="B442" s="272"/>
      <c r="C442" s="272"/>
      <c r="D442" s="239" t="s">
        <v>567</v>
      </c>
      <c r="E442" s="237"/>
      <c r="F442" s="238"/>
      <c r="G442" s="238">
        <f>5099.19+2713.17</f>
        <v>7812.36</v>
      </c>
      <c r="H442" s="238"/>
    </row>
    <row r="443" spans="1:8" x14ac:dyDescent="0.2">
      <c r="A443" s="274">
        <v>329</v>
      </c>
      <c r="B443" s="275"/>
      <c r="C443" s="276"/>
      <c r="D443" s="239" t="s">
        <v>146</v>
      </c>
      <c r="E443" s="237">
        <f>SUM(E444:E447)</f>
        <v>0</v>
      </c>
      <c r="F443" s="237">
        <f>SUM(F444:F447)</f>
        <v>0</v>
      </c>
      <c r="G443" s="237">
        <f>SUM(G444:G447)</f>
        <v>1607.54</v>
      </c>
      <c r="H443" s="238"/>
    </row>
    <row r="444" spans="1:8" x14ac:dyDescent="0.2">
      <c r="A444" s="274">
        <v>3292</v>
      </c>
      <c r="B444" s="275"/>
      <c r="C444" s="276"/>
      <c r="D444" s="236" t="s">
        <v>150</v>
      </c>
      <c r="E444" s="237"/>
      <c r="F444" s="238"/>
      <c r="G444" s="238"/>
      <c r="H444" s="238"/>
    </row>
    <row r="445" spans="1:8" x14ac:dyDescent="0.2">
      <c r="A445" s="274">
        <v>3293</v>
      </c>
      <c r="B445" s="275"/>
      <c r="C445" s="276"/>
      <c r="D445" s="236" t="s">
        <v>152</v>
      </c>
      <c r="E445" s="237"/>
      <c r="F445" s="238"/>
      <c r="G445" s="238">
        <v>930.71</v>
      </c>
      <c r="H445" s="238"/>
    </row>
    <row r="446" spans="1:8" x14ac:dyDescent="0.2">
      <c r="A446" s="274">
        <v>3294</v>
      </c>
      <c r="B446" s="275"/>
      <c r="C446" s="276"/>
      <c r="D446" s="236" t="s">
        <v>154</v>
      </c>
      <c r="E446" s="237"/>
      <c r="F446" s="238"/>
      <c r="G446" s="238">
        <f>102.65+534.18</f>
        <v>636.82999999999993</v>
      </c>
      <c r="H446" s="238"/>
    </row>
    <row r="447" spans="1:8" x14ac:dyDescent="0.2">
      <c r="A447" s="272">
        <v>3299</v>
      </c>
      <c r="B447" s="272"/>
      <c r="C447" s="272"/>
      <c r="D447" s="239" t="s">
        <v>146</v>
      </c>
      <c r="E447" s="237"/>
      <c r="F447" s="238"/>
      <c r="G447" s="238">
        <v>40</v>
      </c>
      <c r="H447" s="238"/>
    </row>
    <row r="448" spans="1:8" x14ac:dyDescent="0.2">
      <c r="A448" s="274">
        <v>34</v>
      </c>
      <c r="B448" s="275"/>
      <c r="C448" s="276"/>
      <c r="D448" s="239" t="s">
        <v>161</v>
      </c>
      <c r="E448" s="237">
        <f>E449</f>
        <v>0</v>
      </c>
      <c r="F448" s="237">
        <f t="shared" ref="F448:G448" si="135">F449</f>
        <v>0</v>
      </c>
      <c r="G448" s="237">
        <f t="shared" si="135"/>
        <v>94.26</v>
      </c>
      <c r="H448" s="237"/>
    </row>
    <row r="449" spans="1:8" x14ac:dyDescent="0.2">
      <c r="A449" s="274">
        <v>343</v>
      </c>
      <c r="B449" s="275"/>
      <c r="C449" s="276"/>
      <c r="D449" s="236" t="s">
        <v>163</v>
      </c>
      <c r="E449" s="237">
        <f>E451+E450</f>
        <v>0</v>
      </c>
      <c r="F449" s="237">
        <f t="shared" ref="F449:G449" si="136">F451+F450</f>
        <v>0</v>
      </c>
      <c r="G449" s="237">
        <f t="shared" si="136"/>
        <v>94.26</v>
      </c>
      <c r="H449" s="237"/>
    </row>
    <row r="450" spans="1:8" x14ac:dyDescent="0.2">
      <c r="A450" s="240">
        <v>3431</v>
      </c>
      <c r="B450" s="241"/>
      <c r="C450" s="236"/>
      <c r="D450" s="236" t="s">
        <v>165</v>
      </c>
      <c r="E450" s="237">
        <v>0</v>
      </c>
      <c r="F450" s="237">
        <f>E450</f>
        <v>0</v>
      </c>
      <c r="G450" s="237">
        <v>94.26</v>
      </c>
      <c r="H450" s="238"/>
    </row>
    <row r="451" spans="1:8" ht="25.5" x14ac:dyDescent="0.2">
      <c r="A451" s="274">
        <v>3432</v>
      </c>
      <c r="B451" s="275"/>
      <c r="C451" s="276"/>
      <c r="D451" s="236" t="s">
        <v>390</v>
      </c>
      <c r="E451" s="237">
        <v>0</v>
      </c>
      <c r="F451" s="238">
        <f>E451</f>
        <v>0</v>
      </c>
      <c r="G451" s="238">
        <v>0</v>
      </c>
      <c r="H451" s="238"/>
    </row>
    <row r="452" spans="1:8" ht="25.5" x14ac:dyDescent="0.2">
      <c r="A452" s="274">
        <v>36</v>
      </c>
      <c r="B452" s="275"/>
      <c r="C452" s="276"/>
      <c r="D452" s="236" t="s">
        <v>176</v>
      </c>
      <c r="E452" s="237">
        <f>E453</f>
        <v>0</v>
      </c>
      <c r="F452" s="237">
        <f t="shared" ref="F452:G453" si="137">F453</f>
        <v>0</v>
      </c>
      <c r="G452" s="237">
        <f t="shared" si="137"/>
        <v>0</v>
      </c>
      <c r="H452" s="238"/>
    </row>
    <row r="453" spans="1:8" ht="25.5" x14ac:dyDescent="0.2">
      <c r="A453" s="274">
        <v>369</v>
      </c>
      <c r="B453" s="275"/>
      <c r="C453" s="276"/>
      <c r="D453" s="236" t="s">
        <v>196</v>
      </c>
      <c r="E453" s="237">
        <f>E454</f>
        <v>0</v>
      </c>
      <c r="F453" s="237">
        <f t="shared" si="137"/>
        <v>0</v>
      </c>
      <c r="G453" s="237">
        <f t="shared" si="137"/>
        <v>0</v>
      </c>
      <c r="H453" s="238"/>
    </row>
    <row r="454" spans="1:8" ht="25.5" x14ac:dyDescent="0.2">
      <c r="A454" s="274">
        <v>3691</v>
      </c>
      <c r="B454" s="275"/>
      <c r="C454" s="276"/>
      <c r="D454" s="236" t="s">
        <v>573</v>
      </c>
      <c r="E454" s="237"/>
      <c r="F454" s="238"/>
      <c r="G454" s="238"/>
      <c r="H454" s="238"/>
    </row>
    <row r="455" spans="1:8" x14ac:dyDescent="0.2">
      <c r="A455" s="240">
        <v>38</v>
      </c>
      <c r="B455" s="241"/>
      <c r="C455" s="236"/>
      <c r="D455" s="236" t="s">
        <v>574</v>
      </c>
      <c r="E455" s="237">
        <f t="shared" ref="E455:G456" si="138">E456</f>
        <v>0</v>
      </c>
      <c r="F455" s="237">
        <f t="shared" si="138"/>
        <v>0</v>
      </c>
      <c r="G455" s="237">
        <f t="shared" si="138"/>
        <v>0</v>
      </c>
      <c r="H455" s="238"/>
    </row>
    <row r="456" spans="1:8" x14ac:dyDescent="0.2">
      <c r="A456" s="240">
        <v>381</v>
      </c>
      <c r="B456" s="241"/>
      <c r="C456" s="236"/>
      <c r="D456" s="236" t="s">
        <v>212</v>
      </c>
      <c r="E456" s="237">
        <f t="shared" si="138"/>
        <v>0</v>
      </c>
      <c r="F456" s="237">
        <f t="shared" si="138"/>
        <v>0</v>
      </c>
      <c r="G456" s="237">
        <f t="shared" si="138"/>
        <v>0</v>
      </c>
      <c r="H456" s="238"/>
    </row>
    <row r="457" spans="1:8" x14ac:dyDescent="0.2">
      <c r="A457" s="240">
        <v>3811</v>
      </c>
      <c r="B457" s="241"/>
      <c r="C457" s="236"/>
      <c r="D457" s="236" t="s">
        <v>214</v>
      </c>
      <c r="E457" s="237"/>
      <c r="F457" s="237"/>
      <c r="G457" s="237"/>
      <c r="H457" s="238"/>
    </row>
    <row r="458" spans="1:8" x14ac:dyDescent="0.2">
      <c r="A458" s="272">
        <v>4</v>
      </c>
      <c r="B458" s="272"/>
      <c r="C458" s="272"/>
      <c r="D458" s="239" t="s">
        <v>227</v>
      </c>
      <c r="E458" s="237">
        <f>+E459+E462</f>
        <v>117812</v>
      </c>
      <c r="F458" s="237">
        <f>+F459+F462</f>
        <v>117812</v>
      </c>
      <c r="G458" s="237">
        <f t="shared" ref="G458" si="139">G459+G462</f>
        <v>71493.090000000011</v>
      </c>
      <c r="H458" s="238">
        <f t="shared" ref="H458" si="140">G458/F458*100</f>
        <v>60.684047465453439</v>
      </c>
    </row>
    <row r="459" spans="1:8" ht="25.5" x14ac:dyDescent="0.2">
      <c r="A459" s="272">
        <v>41</v>
      </c>
      <c r="B459" s="272"/>
      <c r="C459" s="272"/>
      <c r="D459" s="239" t="s">
        <v>575</v>
      </c>
      <c r="E459" s="237">
        <f>E460</f>
        <v>0</v>
      </c>
      <c r="F459" s="237">
        <f t="shared" ref="F459:G460" si="141">F460</f>
        <v>0</v>
      </c>
      <c r="G459" s="237">
        <f t="shared" si="141"/>
        <v>256.99</v>
      </c>
      <c r="H459" s="238"/>
    </row>
    <row r="460" spans="1:8" x14ac:dyDescent="0.2">
      <c r="A460" s="274">
        <v>412</v>
      </c>
      <c r="B460" s="275"/>
      <c r="C460" s="276"/>
      <c r="D460" s="239" t="s">
        <v>230</v>
      </c>
      <c r="E460" s="237">
        <f>E461</f>
        <v>0</v>
      </c>
      <c r="F460" s="237">
        <f t="shared" si="141"/>
        <v>0</v>
      </c>
      <c r="G460" s="237">
        <f t="shared" si="141"/>
        <v>256.99</v>
      </c>
      <c r="H460" s="238"/>
    </row>
    <row r="461" spans="1:8" x14ac:dyDescent="0.2">
      <c r="A461" s="274">
        <v>4123</v>
      </c>
      <c r="B461" s="275"/>
      <c r="C461" s="276"/>
      <c r="D461" s="236" t="s">
        <v>232</v>
      </c>
      <c r="E461" s="237"/>
      <c r="F461" s="238">
        <f>E461</f>
        <v>0</v>
      </c>
      <c r="G461" s="238">
        <v>256.99</v>
      </c>
      <c r="H461" s="238"/>
    </row>
    <row r="462" spans="1:8" ht="25.5" x14ac:dyDescent="0.2">
      <c r="A462" s="274">
        <v>42</v>
      </c>
      <c r="B462" s="275"/>
      <c r="C462" s="276"/>
      <c r="D462" s="236" t="s">
        <v>576</v>
      </c>
      <c r="E462" s="237">
        <v>117812</v>
      </c>
      <c r="F462" s="237">
        <v>117812</v>
      </c>
      <c r="G462" s="237">
        <f>G463+G470</f>
        <v>71236.100000000006</v>
      </c>
      <c r="H462" s="237"/>
    </row>
    <row r="463" spans="1:8" x14ac:dyDescent="0.2">
      <c r="A463" s="274">
        <v>422</v>
      </c>
      <c r="B463" s="275"/>
      <c r="C463" s="276"/>
      <c r="D463" s="236" t="s">
        <v>240</v>
      </c>
      <c r="E463" s="237">
        <f t="shared" ref="E463:F463" si="142">SUM(E464:E467)</f>
        <v>0</v>
      </c>
      <c r="F463" s="237">
        <f t="shared" si="142"/>
        <v>0</v>
      </c>
      <c r="G463" s="237">
        <f>SUM(G464:G467)</f>
        <v>70442.97</v>
      </c>
      <c r="H463" s="238"/>
    </row>
    <row r="464" spans="1:8" x14ac:dyDescent="0.2">
      <c r="A464" s="272">
        <v>4221</v>
      </c>
      <c r="B464" s="272"/>
      <c r="C464" s="272"/>
      <c r="D464" s="239" t="s">
        <v>242</v>
      </c>
      <c r="E464" s="237"/>
      <c r="F464" s="238"/>
      <c r="G464" s="238">
        <f>64308.88+1421</f>
        <v>65729.88</v>
      </c>
      <c r="H464" s="238"/>
    </row>
    <row r="465" spans="1:8" x14ac:dyDescent="0.2">
      <c r="A465" s="272">
        <v>4224</v>
      </c>
      <c r="B465" s="272"/>
      <c r="C465" s="272"/>
      <c r="D465" s="239" t="s">
        <v>244</v>
      </c>
      <c r="E465" s="237"/>
      <c r="F465" s="238"/>
      <c r="G465" s="238">
        <v>4713.09</v>
      </c>
      <c r="H465" s="238"/>
    </row>
    <row r="466" spans="1:8" x14ac:dyDescent="0.2">
      <c r="A466" s="274">
        <v>4225</v>
      </c>
      <c r="B466" s="275"/>
      <c r="C466" s="276"/>
      <c r="D466" s="239" t="s">
        <v>441</v>
      </c>
      <c r="E466" s="237"/>
      <c r="F466" s="238"/>
      <c r="G466" s="238"/>
      <c r="H466" s="238"/>
    </row>
    <row r="467" spans="1:8" x14ac:dyDescent="0.2">
      <c r="A467" s="240">
        <v>4227</v>
      </c>
      <c r="B467" s="241"/>
      <c r="C467" s="236"/>
      <c r="D467" s="242" t="s">
        <v>577</v>
      </c>
      <c r="E467" s="237"/>
      <c r="F467" s="238"/>
      <c r="G467" s="237"/>
      <c r="H467" s="238"/>
    </row>
    <row r="468" spans="1:8" x14ac:dyDescent="0.2">
      <c r="A468" s="240">
        <v>423</v>
      </c>
      <c r="B468" s="241"/>
      <c r="C468" s="236"/>
      <c r="D468" s="242" t="s">
        <v>445</v>
      </c>
      <c r="E468" s="237">
        <f t="shared" ref="E468:F468" si="143">E469</f>
        <v>0</v>
      </c>
      <c r="F468" s="237">
        <f t="shared" si="143"/>
        <v>0</v>
      </c>
      <c r="G468" s="237">
        <f>G469</f>
        <v>0</v>
      </c>
      <c r="H468" s="238"/>
    </row>
    <row r="469" spans="1:8" x14ac:dyDescent="0.2">
      <c r="A469" s="240">
        <v>4231</v>
      </c>
      <c r="B469" s="241"/>
      <c r="C469" s="236"/>
      <c r="D469" s="242" t="s">
        <v>578</v>
      </c>
      <c r="E469" s="237">
        <v>0</v>
      </c>
      <c r="F469" s="237">
        <f>E469</f>
        <v>0</v>
      </c>
      <c r="G469" s="237">
        <v>0</v>
      </c>
      <c r="H469" s="238"/>
    </row>
    <row r="470" spans="1:8" ht="25.5" x14ac:dyDescent="0.2">
      <c r="A470" s="274">
        <v>424</v>
      </c>
      <c r="B470" s="275"/>
      <c r="C470" s="276"/>
      <c r="D470" s="236" t="s">
        <v>449</v>
      </c>
      <c r="E470" s="237">
        <f t="shared" ref="E470:G470" si="144">E471</f>
        <v>0</v>
      </c>
      <c r="F470" s="237">
        <f t="shared" si="144"/>
        <v>0</v>
      </c>
      <c r="G470" s="237">
        <f t="shared" si="144"/>
        <v>793.13</v>
      </c>
      <c r="H470" s="238"/>
    </row>
    <row r="471" spans="1:8" x14ac:dyDescent="0.2">
      <c r="A471" s="274">
        <v>4241</v>
      </c>
      <c r="B471" s="275"/>
      <c r="C471" s="276"/>
      <c r="D471" s="236" t="s">
        <v>569</v>
      </c>
      <c r="E471" s="237"/>
      <c r="F471" s="237"/>
      <c r="G471" s="238">
        <v>793.13</v>
      </c>
      <c r="H471" s="238"/>
    </row>
    <row r="472" spans="1:8" x14ac:dyDescent="0.2">
      <c r="A472" s="274">
        <v>426</v>
      </c>
      <c r="B472" s="275"/>
      <c r="C472" s="276"/>
      <c r="D472" s="236" t="s">
        <v>246</v>
      </c>
      <c r="E472" s="237">
        <f>E473</f>
        <v>0</v>
      </c>
      <c r="F472" s="237">
        <f>F473</f>
        <v>0</v>
      </c>
      <c r="G472" s="237">
        <f>G473</f>
        <v>0</v>
      </c>
      <c r="H472" s="238"/>
    </row>
    <row r="473" spans="1:8" x14ac:dyDescent="0.2">
      <c r="A473" s="272">
        <v>4262</v>
      </c>
      <c r="B473" s="272"/>
      <c r="C473" s="272"/>
      <c r="D473" s="239" t="s">
        <v>248</v>
      </c>
      <c r="E473" s="237"/>
      <c r="F473" s="238"/>
      <c r="G473" s="238">
        <v>0</v>
      </c>
      <c r="H473" s="238"/>
    </row>
  </sheetData>
  <mergeCells count="415">
    <mergeCell ref="A2:H2"/>
    <mergeCell ref="A4:H4"/>
    <mergeCell ref="A6:D6"/>
    <mergeCell ref="A7:D7"/>
    <mergeCell ref="A8:C8"/>
    <mergeCell ref="A15:C15"/>
    <mergeCell ref="A16:C16"/>
    <mergeCell ref="A17:C17"/>
    <mergeCell ref="A18:C18"/>
    <mergeCell ref="A19:C19"/>
    <mergeCell ref="A20:C20"/>
    <mergeCell ref="A9:C9"/>
    <mergeCell ref="A10:C10"/>
    <mergeCell ref="A11:C11"/>
    <mergeCell ref="A12:C12"/>
    <mergeCell ref="A13:C13"/>
    <mergeCell ref="A28:C28"/>
    <mergeCell ref="A29:C29"/>
    <mergeCell ref="A30:C30"/>
    <mergeCell ref="A31:C31"/>
    <mergeCell ref="A32:C32"/>
    <mergeCell ref="A33:C33"/>
    <mergeCell ref="A21:C21"/>
    <mergeCell ref="A22:C22"/>
    <mergeCell ref="A23:C23"/>
    <mergeCell ref="A25:C25"/>
    <mergeCell ref="A26:C26"/>
    <mergeCell ref="A27:C27"/>
    <mergeCell ref="A40:C40"/>
    <mergeCell ref="A41:C41"/>
    <mergeCell ref="A42:C42"/>
    <mergeCell ref="A43:C43"/>
    <mergeCell ref="A44:C44"/>
    <mergeCell ref="A47:C47"/>
    <mergeCell ref="A34:C34"/>
    <mergeCell ref="A35:C35"/>
    <mergeCell ref="A36:C36"/>
    <mergeCell ref="A37:C37"/>
    <mergeCell ref="A38:C38"/>
    <mergeCell ref="A39:C39"/>
    <mergeCell ref="A55:C55"/>
    <mergeCell ref="A56:C56"/>
    <mergeCell ref="A60:C60"/>
    <mergeCell ref="A61:C61"/>
    <mergeCell ref="A62:C62"/>
    <mergeCell ref="A63:C63"/>
    <mergeCell ref="A48:C48"/>
    <mergeCell ref="A49:C49"/>
    <mergeCell ref="A50:C50"/>
    <mergeCell ref="A51:C51"/>
    <mergeCell ref="A52:C52"/>
    <mergeCell ref="A54:C54"/>
    <mergeCell ref="A57:C57"/>
    <mergeCell ref="A58:C58"/>
    <mergeCell ref="A59:C59"/>
    <mergeCell ref="A73:C73"/>
    <mergeCell ref="A74:C74"/>
    <mergeCell ref="A75:C75"/>
    <mergeCell ref="A76:C76"/>
    <mergeCell ref="A77:C77"/>
    <mergeCell ref="A78:C78"/>
    <mergeCell ref="A71:C71"/>
    <mergeCell ref="A72:C72"/>
    <mergeCell ref="A64:C64"/>
    <mergeCell ref="A65:C65"/>
    <mergeCell ref="A66:C66"/>
    <mergeCell ref="A68:C68"/>
    <mergeCell ref="A69:C69"/>
    <mergeCell ref="A70:C70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09:C109"/>
    <mergeCell ref="A110:C110"/>
    <mergeCell ref="A111:C111"/>
    <mergeCell ref="A113:C113"/>
    <mergeCell ref="A114:C114"/>
    <mergeCell ref="A115:C115"/>
    <mergeCell ref="A103:C103"/>
    <mergeCell ref="A104:C104"/>
    <mergeCell ref="A105:C105"/>
    <mergeCell ref="A106:C106"/>
    <mergeCell ref="A107:C107"/>
    <mergeCell ref="A108:C108"/>
    <mergeCell ref="A125:C125"/>
    <mergeCell ref="A126:C126"/>
    <mergeCell ref="A127:C127"/>
    <mergeCell ref="A128:C128"/>
    <mergeCell ref="A132:C132"/>
    <mergeCell ref="A133:C133"/>
    <mergeCell ref="A116:C116"/>
    <mergeCell ref="A120:C120"/>
    <mergeCell ref="A121:C121"/>
    <mergeCell ref="A122:C122"/>
    <mergeCell ref="A123:C123"/>
    <mergeCell ref="A124:C124"/>
    <mergeCell ref="A138:C138"/>
    <mergeCell ref="A139:C139"/>
    <mergeCell ref="A140:C140"/>
    <mergeCell ref="A141:C141"/>
    <mergeCell ref="A142:C142"/>
    <mergeCell ref="A143:C143"/>
    <mergeCell ref="A134:C134"/>
    <mergeCell ref="A135:C135"/>
    <mergeCell ref="A136:C136"/>
    <mergeCell ref="A137:C137"/>
    <mergeCell ref="A150:C150"/>
    <mergeCell ref="A151:C151"/>
    <mergeCell ref="A152:C152"/>
    <mergeCell ref="A153:C153"/>
    <mergeCell ref="A154:C154"/>
    <mergeCell ref="A155:C155"/>
    <mergeCell ref="A144:C144"/>
    <mergeCell ref="A145:C145"/>
    <mergeCell ref="A146:C146"/>
    <mergeCell ref="A147:C147"/>
    <mergeCell ref="A148:C148"/>
    <mergeCell ref="A149:C149"/>
    <mergeCell ref="A162:C162"/>
    <mergeCell ref="A163:C163"/>
    <mergeCell ref="A164:C164"/>
    <mergeCell ref="A165:C165"/>
    <mergeCell ref="A166:C166"/>
    <mergeCell ref="A167:C167"/>
    <mergeCell ref="A156:C156"/>
    <mergeCell ref="A157:C157"/>
    <mergeCell ref="A158:C158"/>
    <mergeCell ref="A159:C159"/>
    <mergeCell ref="A160:C160"/>
    <mergeCell ref="A161:C161"/>
    <mergeCell ref="A174:C174"/>
    <mergeCell ref="A175:C175"/>
    <mergeCell ref="A176:C176"/>
    <mergeCell ref="A177:C177"/>
    <mergeCell ref="A178:C178"/>
    <mergeCell ref="A179:C179"/>
    <mergeCell ref="A168:C168"/>
    <mergeCell ref="A169:C169"/>
    <mergeCell ref="A170:C170"/>
    <mergeCell ref="A171:C171"/>
    <mergeCell ref="A172:C172"/>
    <mergeCell ref="A173:C173"/>
    <mergeCell ref="A186:C186"/>
    <mergeCell ref="A190:C190"/>
    <mergeCell ref="A191:C191"/>
    <mergeCell ref="A192:C192"/>
    <mergeCell ref="A193:C193"/>
    <mergeCell ref="A194:C194"/>
    <mergeCell ref="A180:C180"/>
    <mergeCell ref="A181:C181"/>
    <mergeCell ref="A182:C182"/>
    <mergeCell ref="A183:C183"/>
    <mergeCell ref="A184:C184"/>
    <mergeCell ref="A185:C185"/>
    <mergeCell ref="A202:C202"/>
    <mergeCell ref="A203:C203"/>
    <mergeCell ref="A204:C204"/>
    <mergeCell ref="A205:C205"/>
    <mergeCell ref="A195:C195"/>
    <mergeCell ref="A196:C196"/>
    <mergeCell ref="A198:C198"/>
    <mergeCell ref="A199:C199"/>
    <mergeCell ref="A200:C200"/>
    <mergeCell ref="A201:C201"/>
    <mergeCell ref="A212:C212"/>
    <mergeCell ref="A213:C213"/>
    <mergeCell ref="A217:C217"/>
    <mergeCell ref="A218:C218"/>
    <mergeCell ref="A219:C219"/>
    <mergeCell ref="A221:C221"/>
    <mergeCell ref="A206:C206"/>
    <mergeCell ref="A207:C207"/>
    <mergeCell ref="A208:C208"/>
    <mergeCell ref="A209:C209"/>
    <mergeCell ref="A210:C210"/>
    <mergeCell ref="A211:C211"/>
    <mergeCell ref="A214:C214"/>
    <mergeCell ref="A215:C215"/>
    <mergeCell ref="A216:C216"/>
    <mergeCell ref="A220:C220"/>
    <mergeCell ref="A232:C232"/>
    <mergeCell ref="A233:C233"/>
    <mergeCell ref="A235:C235"/>
    <mergeCell ref="A236:C236"/>
    <mergeCell ref="A237:C237"/>
    <mergeCell ref="A238:C238"/>
    <mergeCell ref="A222:C222"/>
    <mergeCell ref="A223:C223"/>
    <mergeCell ref="A226:C226"/>
    <mergeCell ref="A230:C230"/>
    <mergeCell ref="A231:C231"/>
    <mergeCell ref="A228:C228"/>
    <mergeCell ref="A224:C224"/>
    <mergeCell ref="A225:C225"/>
    <mergeCell ref="A227:C227"/>
    <mergeCell ref="A246:C246"/>
    <mergeCell ref="A248:C248"/>
    <mergeCell ref="A249:C249"/>
    <mergeCell ref="A250:C250"/>
    <mergeCell ref="A251:C251"/>
    <mergeCell ref="A239:C239"/>
    <mergeCell ref="A240:C240"/>
    <mergeCell ref="A241:C241"/>
    <mergeCell ref="A242:C242"/>
    <mergeCell ref="A244:C244"/>
    <mergeCell ref="A245:C245"/>
    <mergeCell ref="A243:C243"/>
    <mergeCell ref="A257:C257"/>
    <mergeCell ref="A258:C258"/>
    <mergeCell ref="A259:C259"/>
    <mergeCell ref="A260:C260"/>
    <mergeCell ref="A261:C261"/>
    <mergeCell ref="A262:C262"/>
    <mergeCell ref="A252:C252"/>
    <mergeCell ref="A253:C253"/>
    <mergeCell ref="A254:C254"/>
    <mergeCell ref="A255:C255"/>
    <mergeCell ref="A256:C256"/>
    <mergeCell ref="A269:C269"/>
    <mergeCell ref="A270:C270"/>
    <mergeCell ref="A271:C271"/>
    <mergeCell ref="A272:C272"/>
    <mergeCell ref="A273:C273"/>
    <mergeCell ref="A274:C274"/>
    <mergeCell ref="A263:C263"/>
    <mergeCell ref="A264:C264"/>
    <mergeCell ref="A265:C265"/>
    <mergeCell ref="A266:C266"/>
    <mergeCell ref="A267:C267"/>
    <mergeCell ref="A268:C268"/>
    <mergeCell ref="A282:C282"/>
    <mergeCell ref="A283:C283"/>
    <mergeCell ref="A285:C285"/>
    <mergeCell ref="A286:C286"/>
    <mergeCell ref="A290:C290"/>
    <mergeCell ref="A291:C291"/>
    <mergeCell ref="A287:C287"/>
    <mergeCell ref="A289:C289"/>
    <mergeCell ref="A275:C275"/>
    <mergeCell ref="A276:C276"/>
    <mergeCell ref="A277:C277"/>
    <mergeCell ref="A278:C278"/>
    <mergeCell ref="A280:C280"/>
    <mergeCell ref="A281:C281"/>
    <mergeCell ref="A292:C292"/>
    <mergeCell ref="A296:C296"/>
    <mergeCell ref="A297:C297"/>
    <mergeCell ref="A298:C298"/>
    <mergeCell ref="A299:C299"/>
    <mergeCell ref="A300:C300"/>
    <mergeCell ref="A293:C293"/>
    <mergeCell ref="A294:C294"/>
    <mergeCell ref="A295:C295"/>
    <mergeCell ref="A308:C308"/>
    <mergeCell ref="A309:C309"/>
    <mergeCell ref="A310:C310"/>
    <mergeCell ref="A311:C311"/>
    <mergeCell ref="A312:C312"/>
    <mergeCell ref="A313:C313"/>
    <mergeCell ref="A301:C301"/>
    <mergeCell ref="A302:C302"/>
    <mergeCell ref="A304:C304"/>
    <mergeCell ref="A305:C305"/>
    <mergeCell ref="A306:C306"/>
    <mergeCell ref="A307:C307"/>
    <mergeCell ref="A466:C466"/>
    <mergeCell ref="A327:C327"/>
    <mergeCell ref="A328:C328"/>
    <mergeCell ref="A329:C329"/>
    <mergeCell ref="A470:C470"/>
    <mergeCell ref="A471:C471"/>
    <mergeCell ref="A421:C421"/>
    <mergeCell ref="A422:C422"/>
    <mergeCell ref="A423:C423"/>
    <mergeCell ref="A424:C424"/>
    <mergeCell ref="A460:C460"/>
    <mergeCell ref="A461:C461"/>
    <mergeCell ref="A462:C462"/>
    <mergeCell ref="A425:C425"/>
    <mergeCell ref="A426:C426"/>
    <mergeCell ref="A427:C427"/>
    <mergeCell ref="A428:C428"/>
    <mergeCell ref="A339:C339"/>
    <mergeCell ref="A340:C340"/>
    <mergeCell ref="A342:C342"/>
    <mergeCell ref="A346:C346"/>
    <mergeCell ref="A347:C347"/>
    <mergeCell ref="A343:C343"/>
    <mergeCell ref="A345:C345"/>
    <mergeCell ref="A332:C332"/>
    <mergeCell ref="A336:C336"/>
    <mergeCell ref="A337:C337"/>
    <mergeCell ref="A338:C338"/>
    <mergeCell ref="A323:C323"/>
    <mergeCell ref="A324:C324"/>
    <mergeCell ref="A325:C325"/>
    <mergeCell ref="A314:C314"/>
    <mergeCell ref="A315:C315"/>
    <mergeCell ref="A316:C316"/>
    <mergeCell ref="A317:C317"/>
    <mergeCell ref="A318:C318"/>
    <mergeCell ref="A319:C319"/>
    <mergeCell ref="A364:C364"/>
    <mergeCell ref="A354:C354"/>
    <mergeCell ref="A355:C355"/>
    <mergeCell ref="A356:C356"/>
    <mergeCell ref="A357:C357"/>
    <mergeCell ref="A358:C358"/>
    <mergeCell ref="A348:C348"/>
    <mergeCell ref="A349:C349"/>
    <mergeCell ref="A350:C350"/>
    <mergeCell ref="A351:C351"/>
    <mergeCell ref="A352:C352"/>
    <mergeCell ref="A359:C359"/>
    <mergeCell ref="A360:C360"/>
    <mergeCell ref="A361:C361"/>
    <mergeCell ref="A362:C362"/>
    <mergeCell ref="A363:C363"/>
    <mergeCell ref="A389:C389"/>
    <mergeCell ref="A390:C390"/>
    <mergeCell ref="A391:C391"/>
    <mergeCell ref="A388:C388"/>
    <mergeCell ref="A412:C412"/>
    <mergeCell ref="A413:C413"/>
    <mergeCell ref="A414:C414"/>
    <mergeCell ref="A379:C379"/>
    <mergeCell ref="A383:C383"/>
    <mergeCell ref="A380:C380"/>
    <mergeCell ref="A387:C387"/>
    <mergeCell ref="A400:C400"/>
    <mergeCell ref="A401:C401"/>
    <mergeCell ref="A402:C402"/>
    <mergeCell ref="A403:C403"/>
    <mergeCell ref="A405:C405"/>
    <mergeCell ref="A406:C406"/>
    <mergeCell ref="A393:C393"/>
    <mergeCell ref="A394:C394"/>
    <mergeCell ref="A396:C396"/>
    <mergeCell ref="A397:C397"/>
    <mergeCell ref="A398:C398"/>
    <mergeCell ref="A399:C399"/>
    <mergeCell ref="A378:C378"/>
    <mergeCell ref="A374:C374"/>
    <mergeCell ref="A375:C375"/>
    <mergeCell ref="A376:C376"/>
    <mergeCell ref="A365:C365"/>
    <mergeCell ref="A366:C366"/>
    <mergeCell ref="A367:C367"/>
    <mergeCell ref="A368:C368"/>
    <mergeCell ref="A369:C369"/>
    <mergeCell ref="A370:C370"/>
    <mergeCell ref="A440:C440"/>
    <mergeCell ref="A441:C441"/>
    <mergeCell ref="A429:C429"/>
    <mergeCell ref="A430:C430"/>
    <mergeCell ref="A431:C431"/>
    <mergeCell ref="A432:C432"/>
    <mergeCell ref="A433:C433"/>
    <mergeCell ref="A434:C434"/>
    <mergeCell ref="A407:C407"/>
    <mergeCell ref="A408:C408"/>
    <mergeCell ref="A409:C409"/>
    <mergeCell ref="A410:C410"/>
    <mergeCell ref="A411:C411"/>
    <mergeCell ref="A415:C415"/>
    <mergeCell ref="A416:C416"/>
    <mergeCell ref="A417:C417"/>
    <mergeCell ref="A418:C418"/>
    <mergeCell ref="A419:C419"/>
    <mergeCell ref="A420:C420"/>
    <mergeCell ref="A473:C473"/>
    <mergeCell ref="A1:G1"/>
    <mergeCell ref="A458:C458"/>
    <mergeCell ref="A459:C459"/>
    <mergeCell ref="A463:C463"/>
    <mergeCell ref="A464:C464"/>
    <mergeCell ref="A465:C465"/>
    <mergeCell ref="A472:C472"/>
    <mergeCell ref="A448:C448"/>
    <mergeCell ref="A449:C449"/>
    <mergeCell ref="A451:C451"/>
    <mergeCell ref="A452:C452"/>
    <mergeCell ref="A453:C453"/>
    <mergeCell ref="A454:C454"/>
    <mergeCell ref="A442:C442"/>
    <mergeCell ref="A443:C443"/>
    <mergeCell ref="A444:C444"/>
    <mergeCell ref="A445:C445"/>
    <mergeCell ref="A446:C446"/>
    <mergeCell ref="A447:C447"/>
    <mergeCell ref="A435:C435"/>
    <mergeCell ref="A436:C436"/>
    <mergeCell ref="A437:C437"/>
    <mergeCell ref="A438:C438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B.1 RAČUN FINANC EK</vt:lpstr>
      <vt:lpstr>A.3 RASHODI FUNKC</vt:lpstr>
      <vt:lpstr>B.2 RAČUN FINANC IF</vt:lpstr>
      <vt:lpstr>POSEBNI DIO</vt:lpstr>
      <vt:lpstr>'A.1 PRIHODI EK'!Print_Titles</vt:lpstr>
      <vt:lpstr>'A.1 RASHODI EK'!Print_Titles</vt:lpstr>
      <vt:lpstr>'A.2 PRIHODI I RASHODI IF'!Print_Titles</vt:lpstr>
      <vt:lpstr>'B.1 RAČUN FINANC EK'!Print_Titles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Sandra Vidić</cp:lastModifiedBy>
  <cp:lastPrinted>2026-07-14T10:08:31Z</cp:lastPrinted>
  <dcterms:created xsi:type="dcterms:W3CDTF">2024-02-22T20:30:43Z</dcterms:created>
  <dcterms:modified xsi:type="dcterms:W3CDTF">2026-07-16T06:23:12Z</dcterms:modified>
</cp:coreProperties>
</file>